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drawings/drawing2.xml" ContentType="application/vnd.openxmlformats-officedocument.drawing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30" windowWidth="16545" windowHeight="7185" firstSheet="52" activeTab="52"/>
  </bookViews>
  <sheets>
    <sheet name="Выпуск" sheetId="65" r:id="rId1"/>
    <sheet name="290,012004" sheetId="42" r:id="rId2"/>
    <sheet name="290,012004 недофинанс" sheetId="62" r:id="rId3"/>
    <sheet name="290,стипендия (2)" sheetId="72" r:id="rId4"/>
    <sheet name="290,стипендия" sheetId="60" r:id="rId5"/>
    <sheet name="290,стипендия недофинанс" sheetId="61" r:id="rId6"/>
    <sheet name="262,000005" sheetId="41" r:id="rId7"/>
    <sheet name="262,00004" sheetId="40" r:id="rId8"/>
    <sheet name="262,00004 недофинанс" sheetId="63" r:id="rId9"/>
    <sheet name="262,000002" sheetId="43" r:id="rId10"/>
    <sheet name="262,000002 недофинанс" sheetId="64" r:id="rId11"/>
    <sheet name="приложение №12" sheetId="1" r:id="rId12"/>
    <sheet name="приложение № 8" sheetId="3" r:id="rId13"/>
    <sheet name="приложение № 5" sheetId="4" r:id="rId14"/>
    <sheet name="расчет за вредность" sheetId="37" r:id="rId15"/>
    <sheet name="расчет з.п.повышенного уров (2)" sheetId="66" r:id="rId16"/>
    <sheet name="расчет з.п.базового уровня (3)" sheetId="68" r:id="rId17"/>
    <sheet name="расчет з.п.повышенного уровня" sheetId="35" r:id="rId18"/>
    <sheet name="расчет з.п.базового уровня" sheetId="36" r:id="rId19"/>
    <sheet name="расчет общий " sheetId="71" r:id="rId20"/>
    <sheet name="доход внебюджет" sheetId="30" r:id="rId21"/>
    <sheet name="211,213 (2)" sheetId="67" r:id="rId22"/>
    <sheet name="211,213общая от 29.06.2012" sheetId="53" r:id="rId23"/>
    <sheet name="211,213 от 29.06.2012 г." sheetId="73" r:id="rId24"/>
    <sheet name="211,213 (3)" sheetId="69" r:id="rId25"/>
    <sheet name="211,213" sheetId="29" r:id="rId26"/>
    <sheet name="212" sheetId="52" r:id="rId27"/>
    <sheet name="221 ОБЩАЯ" sheetId="11" r:id="rId28"/>
    <sheet name="221 ОБЩАЯ (2)" sheetId="57" r:id="rId29"/>
    <sheet name="221 Б" sheetId="48" r:id="rId30"/>
    <sheet name="222 ОБЩАЯ" sheetId="45" r:id="rId31"/>
    <sheet name="222Б" sheetId="12" r:id="rId32"/>
    <sheet name="224" sheetId="26" r:id="rId33"/>
    <sheet name="225 ОБЩАЯ от июля" sheetId="77" r:id="rId34"/>
    <sheet name="225 ОБЩАЯ" sheetId="13" r:id="rId35"/>
    <sheet name="225 Б" sheetId="46" r:id="rId36"/>
    <sheet name="223 Б (2)" sheetId="56" r:id="rId37"/>
    <sheet name="223 Б" sheetId="47" r:id="rId38"/>
    <sheet name="223 Общая" sheetId="14" r:id="rId39"/>
    <sheet name="223 Общая 06.12" sheetId="75" r:id="rId40"/>
    <sheet name="226 ОБЩАЯ" sheetId="15" r:id="rId41"/>
    <sheet name="226012003" sheetId="58" r:id="rId42"/>
    <sheet name="340 медикаменты" sheetId="59" r:id="rId43"/>
    <sheet name="226 ОБЩАЯ 06.12" sheetId="76" r:id="rId44"/>
    <sheet name="226 Б" sheetId="50" r:id="rId45"/>
    <sheet name="290" sheetId="16" r:id="rId46"/>
    <sheet name="290 (3)" sheetId="70" r:id="rId47"/>
    <sheet name="290 (2)" sheetId="28" r:id="rId48"/>
    <sheet name="310" sheetId="17" r:id="rId49"/>
    <sheet name="340 Общая" sheetId="18" r:id="rId50"/>
    <sheet name="340 Б" sheetId="49" r:id="rId51"/>
    <sheet name="проверка" sheetId="19" r:id="rId52"/>
    <sheet name="Титульный лист" sheetId="27" r:id="rId53"/>
  </sheets>
  <externalReferences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</externalReferences>
  <definedNames>
    <definedName name="_xlnm.Print_Titles" localSheetId="27">'221 ОБЩАЯ'!$5:$7</definedName>
    <definedName name="_xlnm.Print_Titles" localSheetId="28">'221 ОБЩАЯ (2)'!$5:$7</definedName>
    <definedName name="_xlnm.Print_Titles" localSheetId="34">'225 ОБЩАЯ'!$5:$7</definedName>
    <definedName name="_xlnm.Print_Titles" localSheetId="33">'225 ОБЩАЯ от июля'!$5:$7</definedName>
    <definedName name="_xlnm.Print_Titles" localSheetId="40">'226 ОБЩАЯ'!$4:$5</definedName>
    <definedName name="_xlnm.Print_Titles" localSheetId="43">'226 ОБЩАЯ 06.12'!$4:$5</definedName>
    <definedName name="_xlnm.Print_Titles" localSheetId="48">'310'!$5:$6</definedName>
  </definedNames>
  <calcPr calcId="144525" fullPrecision="0"/>
</workbook>
</file>

<file path=xl/calcChain.xml><?xml version="1.0" encoding="utf-8"?>
<calcChain xmlns="http://schemas.openxmlformats.org/spreadsheetml/2006/main">
  <c r="F76" i="11" l="1"/>
  <c r="F77" i="11"/>
  <c r="F78" i="11"/>
  <c r="F79" i="11"/>
  <c r="F80" i="11"/>
  <c r="F81" i="11"/>
  <c r="F82" i="11"/>
  <c r="F75" i="11"/>
  <c r="E83" i="11"/>
  <c r="C11" i="77"/>
  <c r="C8" i="77"/>
  <c r="F8" i="77"/>
  <c r="G8" i="77"/>
  <c r="K8" i="77"/>
  <c r="B9" i="77"/>
  <c r="B10" i="77"/>
  <c r="B12" i="77"/>
  <c r="B13" i="77"/>
  <c r="B14" i="77"/>
  <c r="C15" i="77"/>
  <c r="F15" i="77"/>
  <c r="B16" i="77"/>
  <c r="B17" i="77"/>
  <c r="B18" i="77"/>
  <c r="C21" i="77"/>
  <c r="D21" i="77"/>
  <c r="D20" i="77" s="1"/>
  <c r="F21" i="77"/>
  <c r="I21" i="77"/>
  <c r="C22" i="77"/>
  <c r="F22" i="77"/>
  <c r="E22" i="77" s="1"/>
  <c r="I22" i="77"/>
  <c r="C23" i="77"/>
  <c r="F23" i="77"/>
  <c r="E23" i="77" s="1"/>
  <c r="I23" i="77"/>
  <c r="C25" i="77"/>
  <c r="E25" i="77"/>
  <c r="E24" i="77" s="1"/>
  <c r="F25" i="77"/>
  <c r="C26" i="77"/>
  <c r="F26" i="77"/>
  <c r="D26" i="77" s="1"/>
  <c r="C27" i="77"/>
  <c r="F27" i="77"/>
  <c r="D27" i="77" s="1"/>
  <c r="F28" i="77"/>
  <c r="I28" i="77"/>
  <c r="C29" i="77"/>
  <c r="C30" i="77"/>
  <c r="B30" i="77" s="1"/>
  <c r="F31" i="77"/>
  <c r="B32" i="77"/>
  <c r="B34" i="77" s="1"/>
  <c r="B31" i="77" s="1"/>
  <c r="B33" i="77"/>
  <c r="C34" i="77"/>
  <c r="C31" i="77" s="1"/>
  <c r="F35" i="77"/>
  <c r="C36" i="77"/>
  <c r="B36" i="77" s="1"/>
  <c r="B37" i="77"/>
  <c r="C38" i="77"/>
  <c r="C40" i="77"/>
  <c r="F41" i="77"/>
  <c r="F42" i="77"/>
  <c r="C43" i="77"/>
  <c r="H43" i="77"/>
  <c r="C44" i="77"/>
  <c r="B44" i="77" s="1"/>
  <c r="B45" i="77"/>
  <c r="C45" i="77"/>
  <c r="J9" i="77" s="1"/>
  <c r="F46" i="77"/>
  <c r="C47" i="77"/>
  <c r="C48" i="77"/>
  <c r="B48" i="77" s="1"/>
  <c r="F48" i="77"/>
  <c r="B49" i="77"/>
  <c r="F50" i="77"/>
  <c r="B51" i="77"/>
  <c r="C51" i="77"/>
  <c r="F52" i="77"/>
  <c r="B53" i="77"/>
  <c r="B54" i="77"/>
  <c r="C54" i="77"/>
  <c r="C52" i="77"/>
  <c r="B52" i="77" s="1"/>
  <c r="B55" i="77"/>
  <c r="B56" i="77"/>
  <c r="G56" i="77"/>
  <c r="B57" i="77"/>
  <c r="G57" i="77"/>
  <c r="B58" i="77"/>
  <c r="G58" i="77"/>
  <c r="F60" i="77"/>
  <c r="C61" i="77"/>
  <c r="B61" i="77" s="1"/>
  <c r="C68" i="77"/>
  <c r="C72" i="77"/>
  <c r="I81" i="11"/>
  <c r="H83" i="11"/>
  <c r="I83" i="11" s="1"/>
  <c r="H82" i="11"/>
  <c r="I82" i="11"/>
  <c r="I84" i="11" s="1"/>
  <c r="I86" i="11" s="1"/>
  <c r="J86" i="11" s="1"/>
  <c r="H80" i="11"/>
  <c r="I80" i="11" s="1"/>
  <c r="H79" i="11"/>
  <c r="I79" i="11" s="1"/>
  <c r="H78" i="11"/>
  <c r="H77" i="11"/>
  <c r="I77" i="11" s="1"/>
  <c r="H76" i="11"/>
  <c r="I76" i="11" s="1"/>
  <c r="I78" i="11"/>
  <c r="H75" i="11"/>
  <c r="I75" i="11" s="1"/>
  <c r="O11" i="75"/>
  <c r="B61" i="11"/>
  <c r="C41" i="76"/>
  <c r="J100" i="76" s="1"/>
  <c r="K100" i="76" s="1"/>
  <c r="B93" i="76"/>
  <c r="G93" i="76"/>
  <c r="F94" i="76"/>
  <c r="M3" i="76"/>
  <c r="AC4" i="76"/>
  <c r="M4" i="76" s="1"/>
  <c r="L7" i="76"/>
  <c r="L8" i="76"/>
  <c r="L9" i="76"/>
  <c r="C8" i="76"/>
  <c r="C7" i="76" s="1"/>
  <c r="G8" i="76"/>
  <c r="B10" i="76"/>
  <c r="C11" i="76"/>
  <c r="C14" i="76" s="1"/>
  <c r="G11" i="76"/>
  <c r="B12" i="76"/>
  <c r="G12" i="76"/>
  <c r="C13" i="76"/>
  <c r="G13" i="76"/>
  <c r="C15" i="76"/>
  <c r="H15" i="76"/>
  <c r="H94" i="76" s="1"/>
  <c r="B16" i="76"/>
  <c r="C17" i="76"/>
  <c r="G17" i="76"/>
  <c r="G15" i="76" s="1"/>
  <c r="B18" i="76"/>
  <c r="B19" i="76"/>
  <c r="J19" i="76"/>
  <c r="D67" i="76" s="1"/>
  <c r="G20" i="76"/>
  <c r="I20" i="76"/>
  <c r="C21" i="76"/>
  <c r="I21" i="76"/>
  <c r="C22" i="76"/>
  <c r="B22" i="76" s="1"/>
  <c r="B23" i="76"/>
  <c r="C24" i="76"/>
  <c r="G24" i="76"/>
  <c r="B25" i="76"/>
  <c r="C26" i="76"/>
  <c r="B26" i="76" s="1"/>
  <c r="B27" i="76"/>
  <c r="B28" i="76"/>
  <c r="G29" i="76"/>
  <c r="C30" i="76"/>
  <c r="C31" i="76"/>
  <c r="B31" i="76"/>
  <c r="B32" i="76"/>
  <c r="M32" i="76"/>
  <c r="C33" i="76"/>
  <c r="B33" i="76" s="1"/>
  <c r="M33" i="76"/>
  <c r="B34" i="76"/>
  <c r="M34" i="76"/>
  <c r="C35" i="76"/>
  <c r="B35" i="76"/>
  <c r="M35" i="76"/>
  <c r="B36" i="76"/>
  <c r="M36" i="76"/>
  <c r="B37" i="76"/>
  <c r="C37" i="76"/>
  <c r="M37" i="76"/>
  <c r="B38" i="76"/>
  <c r="M38" i="76"/>
  <c r="M39" i="76"/>
  <c r="B40" i="76"/>
  <c r="M40" i="76"/>
  <c r="M41" i="76"/>
  <c r="B42" i="76"/>
  <c r="M42" i="76"/>
  <c r="C43" i="76"/>
  <c r="B43" i="76" s="1"/>
  <c r="M43" i="76"/>
  <c r="B44" i="76"/>
  <c r="C45" i="76"/>
  <c r="B45" i="76" s="1"/>
  <c r="B46" i="76"/>
  <c r="G47" i="76"/>
  <c r="B48" i="76"/>
  <c r="B50" i="76"/>
  <c r="B51" i="76"/>
  <c r="B53" i="76"/>
  <c r="B56" i="76"/>
  <c r="C59" i="76"/>
  <c r="C60" i="76"/>
  <c r="C61" i="76"/>
  <c r="G61" i="76"/>
  <c r="B61" i="76" s="1"/>
  <c r="B62" i="76"/>
  <c r="G64" i="76"/>
  <c r="C65" i="76"/>
  <c r="G65" i="76"/>
  <c r="C66" i="76"/>
  <c r="B66" i="76" s="1"/>
  <c r="G67" i="76"/>
  <c r="C68" i="76"/>
  <c r="B68" i="76" s="1"/>
  <c r="G68" i="76"/>
  <c r="B69" i="76"/>
  <c r="C70" i="76"/>
  <c r="B70" i="76" s="1"/>
  <c r="G70" i="76"/>
  <c r="B71" i="76"/>
  <c r="C72" i="76"/>
  <c r="B72" i="76" s="1"/>
  <c r="G72" i="76"/>
  <c r="B73" i="76"/>
  <c r="G74" i="76"/>
  <c r="B75" i="76"/>
  <c r="C76" i="76"/>
  <c r="C78" i="76"/>
  <c r="C77" i="76" s="1"/>
  <c r="G79" i="76"/>
  <c r="G77" i="76" s="1"/>
  <c r="C80" i="76"/>
  <c r="B80" i="76" s="1"/>
  <c r="C81" i="76"/>
  <c r="B81" i="76"/>
  <c r="G82" i="76"/>
  <c r="C84" i="76"/>
  <c r="C85" i="76"/>
  <c r="G85" i="76"/>
  <c r="C87" i="76"/>
  <c r="G87" i="76"/>
  <c r="B88" i="76"/>
  <c r="C89" i="76"/>
  <c r="B89" i="76" s="1"/>
  <c r="G89" i="76"/>
  <c r="B90" i="76"/>
  <c r="C91" i="76"/>
  <c r="B91" i="76" s="1"/>
  <c r="B92" i="76"/>
  <c r="J99" i="76"/>
  <c r="J104" i="76"/>
  <c r="K104" i="76" s="1"/>
  <c r="L8" i="75"/>
  <c r="M8" i="75"/>
  <c r="N8" i="75"/>
  <c r="L9" i="75"/>
  <c r="M9" i="75"/>
  <c r="N9" i="75"/>
  <c r="L10" i="75"/>
  <c r="M10" i="75"/>
  <c r="N10" i="75"/>
  <c r="L13" i="75"/>
  <c r="M13" i="75"/>
  <c r="J17" i="75"/>
  <c r="M17" i="75"/>
  <c r="N19" i="75"/>
  <c r="N20" i="75"/>
  <c r="M19" i="75" s="1"/>
  <c r="B17" i="18"/>
  <c r="H16" i="53"/>
  <c r="H17" i="53"/>
  <c r="H11" i="53"/>
  <c r="H12" i="53"/>
  <c r="J18" i="73"/>
  <c r="J19" i="73"/>
  <c r="R3" i="73"/>
  <c r="X3" i="73" s="1"/>
  <c r="W3" i="73"/>
  <c r="R4" i="73"/>
  <c r="T4" i="73"/>
  <c r="T19" i="73" s="1"/>
  <c r="T20" i="73" s="1"/>
  <c r="W4" i="73"/>
  <c r="W19" i="73" s="1"/>
  <c r="W20" i="73" s="1"/>
  <c r="R5" i="73"/>
  <c r="S5" i="73"/>
  <c r="U5" i="73"/>
  <c r="W5" i="73"/>
  <c r="R7" i="73"/>
  <c r="S7" i="73"/>
  <c r="U7" i="73"/>
  <c r="W7" i="73"/>
  <c r="S8" i="73"/>
  <c r="X8" i="73" s="1"/>
  <c r="W8" i="73"/>
  <c r="S9" i="73"/>
  <c r="W9" i="73"/>
  <c r="X9" i="73" s="1"/>
  <c r="W13" i="73"/>
  <c r="X13" i="73" s="1"/>
  <c r="S14" i="73"/>
  <c r="W14" i="73"/>
  <c r="Z14" i="73" s="1"/>
  <c r="Y14" i="73"/>
  <c r="U18" i="73"/>
  <c r="Y18" i="73"/>
  <c r="Y19" i="73"/>
  <c r="V20" i="73"/>
  <c r="Y20" i="73"/>
  <c r="S25" i="73"/>
  <c r="W25" i="73"/>
  <c r="S26" i="73"/>
  <c r="W26" i="73"/>
  <c r="S27" i="73"/>
  <c r="W27" i="73"/>
  <c r="W18" i="73" s="1"/>
  <c r="W28" i="73" s="1"/>
  <c r="B34" i="73"/>
  <c r="C34" i="73"/>
  <c r="E34" i="73"/>
  <c r="G34" i="73"/>
  <c r="B35" i="73"/>
  <c r="C35" i="73"/>
  <c r="G35" i="73"/>
  <c r="C39" i="73"/>
  <c r="D39" i="73"/>
  <c r="E39" i="73"/>
  <c r="D40" i="73"/>
  <c r="R14" i="53"/>
  <c r="Y14" i="53" s="1"/>
  <c r="T14" i="53"/>
  <c r="Y18" i="53"/>
  <c r="Z18" i="53" s="1"/>
  <c r="T7" i="53"/>
  <c r="X7" i="53"/>
  <c r="Y7" i="53" s="1"/>
  <c r="X19" i="53"/>
  <c r="Y19" i="53"/>
  <c r="T19" i="53"/>
  <c r="B6" i="65"/>
  <c r="B5" i="65"/>
  <c r="C6" i="72"/>
  <c r="I11" i="61"/>
  <c r="I9" i="61"/>
  <c r="F8" i="61"/>
  <c r="H9" i="61"/>
  <c r="H8" i="61"/>
  <c r="I8" i="61"/>
  <c r="H10" i="61"/>
  <c r="I10" i="61" s="1"/>
  <c r="T5" i="53"/>
  <c r="U5" i="53"/>
  <c r="U20" i="53"/>
  <c r="U21" i="53" s="1"/>
  <c r="Y5" i="53"/>
  <c r="Z5" i="53"/>
  <c r="H7" i="61"/>
  <c r="I7" i="61" s="1"/>
  <c r="W9" i="53"/>
  <c r="K11" i="71"/>
  <c r="K21" i="71"/>
  <c r="O15" i="71"/>
  <c r="P9" i="71"/>
  <c r="P11" i="71" s="1"/>
  <c r="P22" i="71" s="1"/>
  <c r="O10" i="71"/>
  <c r="H13" i="71"/>
  <c r="H21" i="71" s="1"/>
  <c r="E20" i="71"/>
  <c r="J9" i="71"/>
  <c r="J11" i="71" s="1"/>
  <c r="J22" i="71" s="1"/>
  <c r="I9" i="71"/>
  <c r="H9" i="71"/>
  <c r="H11" i="71" s="1"/>
  <c r="I11" i="71"/>
  <c r="I22" i="71" s="1"/>
  <c r="M11" i="71"/>
  <c r="G17" i="71"/>
  <c r="G21" i="71" s="1"/>
  <c r="F21" i="71"/>
  <c r="I21" i="71"/>
  <c r="J21" i="71"/>
  <c r="P21" i="71"/>
  <c r="C22" i="71"/>
  <c r="D22" i="71"/>
  <c r="J28" i="71"/>
  <c r="F33" i="71"/>
  <c r="G32" i="71"/>
  <c r="E39" i="71" s="1"/>
  <c r="E40" i="71" s="1"/>
  <c r="E37" i="71"/>
  <c r="C99" i="15"/>
  <c r="D34" i="53"/>
  <c r="E34" i="53"/>
  <c r="G34" i="53"/>
  <c r="E39" i="53"/>
  <c r="F39" i="53"/>
  <c r="G39" i="53"/>
  <c r="O19" i="66"/>
  <c r="N19" i="68"/>
  <c r="D9" i="70"/>
  <c r="B9" i="70" s="1"/>
  <c r="D10" i="70"/>
  <c r="I9" i="70"/>
  <c r="I10" i="70"/>
  <c r="D11" i="70"/>
  <c r="I12" i="70"/>
  <c r="F13" i="70"/>
  <c r="B10" i="70" s="1"/>
  <c r="I12" i="16"/>
  <c r="C51" i="49"/>
  <c r="R3" i="69"/>
  <c r="W3" i="69"/>
  <c r="R4" i="69"/>
  <c r="T4" i="69"/>
  <c r="T19" i="69" s="1"/>
  <c r="T20" i="69" s="1"/>
  <c r="W4" i="69"/>
  <c r="R5" i="69"/>
  <c r="R19" i="69" s="1"/>
  <c r="S5" i="69"/>
  <c r="U5" i="69"/>
  <c r="W5" i="69"/>
  <c r="R7" i="69"/>
  <c r="S7" i="69"/>
  <c r="U7" i="69"/>
  <c r="W7" i="69"/>
  <c r="S8" i="69"/>
  <c r="W8" i="69"/>
  <c r="S9" i="69"/>
  <c r="W9" i="69"/>
  <c r="X9" i="69" s="1"/>
  <c r="W13" i="69"/>
  <c r="X13" i="69" s="1"/>
  <c r="S14" i="69"/>
  <c r="W14" i="69"/>
  <c r="Y14" i="69"/>
  <c r="U18" i="69"/>
  <c r="Y18" i="69"/>
  <c r="Y19" i="69"/>
  <c r="V20" i="69"/>
  <c r="Y20" i="69"/>
  <c r="S25" i="69"/>
  <c r="W25" i="69"/>
  <c r="S26" i="69"/>
  <c r="W26" i="69"/>
  <c r="S27" i="69"/>
  <c r="W27" i="69"/>
  <c r="B34" i="69"/>
  <c r="C34" i="69"/>
  <c r="E34" i="69"/>
  <c r="G34" i="69"/>
  <c r="B35" i="69"/>
  <c r="C35" i="69"/>
  <c r="G35" i="69"/>
  <c r="C39" i="69"/>
  <c r="D39" i="69"/>
  <c r="E39" i="69"/>
  <c r="D40" i="69"/>
  <c r="D11" i="16"/>
  <c r="I10" i="16"/>
  <c r="I9" i="16"/>
  <c r="D11" i="52"/>
  <c r="C11" i="52" s="1"/>
  <c r="D10" i="52"/>
  <c r="C10" i="52" s="1"/>
  <c r="E44" i="68"/>
  <c r="M44" i="68" s="1"/>
  <c r="E34" i="68"/>
  <c r="E19" i="68"/>
  <c r="J9" i="68"/>
  <c r="I9" i="68"/>
  <c r="I11" i="68" s="1"/>
  <c r="I46" i="68" s="1"/>
  <c r="H9" i="68"/>
  <c r="H11" i="68" s="1"/>
  <c r="G9" i="68"/>
  <c r="G11" i="68" s="1"/>
  <c r="M25" i="68"/>
  <c r="M30" i="68"/>
  <c r="P30" i="68" s="1"/>
  <c r="M31" i="68"/>
  <c r="M32" i="68"/>
  <c r="P32" i="68" s="1"/>
  <c r="M33" i="68"/>
  <c r="M34" i="68"/>
  <c r="P34" i="68" s="1"/>
  <c r="M35" i="68"/>
  <c r="M37" i="68"/>
  <c r="P37" i="68" s="1"/>
  <c r="M38" i="68"/>
  <c r="M39" i="68"/>
  <c r="P39" i="68" s="1"/>
  <c r="M40" i="68"/>
  <c r="M41" i="68"/>
  <c r="M42" i="68"/>
  <c r="M43" i="68"/>
  <c r="P43" i="68" s="1"/>
  <c r="M24" i="68"/>
  <c r="M23" i="68"/>
  <c r="P23" i="68" s="1"/>
  <c r="M22" i="68"/>
  <c r="M21" i="68"/>
  <c r="P21" i="68" s="1"/>
  <c r="M14" i="68"/>
  <c r="H9" i="36"/>
  <c r="H11" i="36" s="1"/>
  <c r="F62" i="68"/>
  <c r="G61" i="68" s="1"/>
  <c r="E68" i="68" s="1"/>
  <c r="E69" i="68" s="1"/>
  <c r="F9" i="68"/>
  <c r="F11" i="68" s="1"/>
  <c r="F46" i="68" s="1"/>
  <c r="E37" i="36"/>
  <c r="E66" i="68"/>
  <c r="E9" i="68"/>
  <c r="E11" i="68" s="1"/>
  <c r="N9" i="68"/>
  <c r="H13" i="68"/>
  <c r="H45" i="68" s="1"/>
  <c r="H46" i="68" s="1"/>
  <c r="E13" i="68"/>
  <c r="E12" i="68"/>
  <c r="E10" i="68"/>
  <c r="L18" i="68"/>
  <c r="L45" i="68" s="1"/>
  <c r="M19" i="66"/>
  <c r="L19" i="68"/>
  <c r="L28" i="68"/>
  <c r="L29" i="68"/>
  <c r="J11" i="68"/>
  <c r="L11" i="68"/>
  <c r="L46" i="68" s="1"/>
  <c r="N11" i="68"/>
  <c r="O11" i="68"/>
  <c r="O46" i="68" s="1"/>
  <c r="P14" i="68"/>
  <c r="Q14" i="68"/>
  <c r="P22" i="68"/>
  <c r="P24" i="68"/>
  <c r="P25" i="68"/>
  <c r="P31" i="68"/>
  <c r="P33" i="68"/>
  <c r="P35" i="68"/>
  <c r="P38" i="68"/>
  <c r="Q38" i="68" s="1"/>
  <c r="P40" i="68"/>
  <c r="P42" i="68"/>
  <c r="Q42" i="68" s="1"/>
  <c r="F45" i="68"/>
  <c r="G45" i="68"/>
  <c r="I45" i="68"/>
  <c r="J45" i="68"/>
  <c r="J46" i="68" s="1"/>
  <c r="N45" i="68"/>
  <c r="N46" i="68" s="1"/>
  <c r="O45" i="68"/>
  <c r="E34" i="66"/>
  <c r="N34" i="66" s="1"/>
  <c r="Q34" i="66" s="1"/>
  <c r="E33" i="66"/>
  <c r="N33" i="66" s="1"/>
  <c r="E32" i="66"/>
  <c r="E31" i="66"/>
  <c r="N31" i="66" s="1"/>
  <c r="E19" i="66"/>
  <c r="N19" i="66" s="1"/>
  <c r="M29" i="66"/>
  <c r="N22" i="66"/>
  <c r="Q22" i="66" s="1"/>
  <c r="N23" i="66"/>
  <c r="N24" i="66"/>
  <c r="N25" i="66"/>
  <c r="N35" i="66"/>
  <c r="Q35" i="66" s="1"/>
  <c r="N37" i="66"/>
  <c r="N38" i="66"/>
  <c r="Q38" i="66"/>
  <c r="N39" i="66"/>
  <c r="N40" i="66"/>
  <c r="Q40" i="66" s="1"/>
  <c r="N41" i="66"/>
  <c r="N42" i="66"/>
  <c r="N43" i="66"/>
  <c r="E44" i="66"/>
  <c r="N44" i="66" s="1"/>
  <c r="I19" i="45"/>
  <c r="I18" i="45"/>
  <c r="J20" i="45"/>
  <c r="F40" i="53"/>
  <c r="D35" i="53"/>
  <c r="E35" i="53"/>
  <c r="M3" i="67"/>
  <c r="R3" i="67"/>
  <c r="M4" i="67"/>
  <c r="O4" i="67"/>
  <c r="R4" i="67"/>
  <c r="M5" i="67"/>
  <c r="N5" i="67"/>
  <c r="P5" i="67"/>
  <c r="P10" i="67" s="1"/>
  <c r="P11" i="67" s="1"/>
  <c r="R5" i="67"/>
  <c r="N7" i="67"/>
  <c r="S7" i="67" s="1"/>
  <c r="R7" i="67"/>
  <c r="N8" i="67"/>
  <c r="R8" i="67"/>
  <c r="N16" i="67"/>
  <c r="N17" i="67"/>
  <c r="N18" i="67"/>
  <c r="P9" i="67"/>
  <c r="R16" i="67"/>
  <c r="R17" i="67"/>
  <c r="R18" i="67"/>
  <c r="T9" i="67"/>
  <c r="T10" i="67"/>
  <c r="Q11" i="67"/>
  <c r="T11" i="67"/>
  <c r="B27" i="67"/>
  <c r="C71" i="13"/>
  <c r="O11" i="14"/>
  <c r="N14" i="66"/>
  <c r="Q14" i="66" s="1"/>
  <c r="N21" i="66"/>
  <c r="Q21" i="66" s="1"/>
  <c r="R21" i="66" s="1"/>
  <c r="N30" i="66"/>
  <c r="Q31" i="66"/>
  <c r="R31" i="66" s="1"/>
  <c r="N32" i="66"/>
  <c r="Q32" i="66" s="1"/>
  <c r="E9" i="66"/>
  <c r="K9" i="66"/>
  <c r="K11" i="66" s="1"/>
  <c r="F61" i="66"/>
  <c r="F62" i="66"/>
  <c r="G9" i="66"/>
  <c r="H9" i="66"/>
  <c r="H11" i="66" s="1"/>
  <c r="I9" i="66"/>
  <c r="I11" i="66" s="1"/>
  <c r="J9" i="66"/>
  <c r="J11" i="66"/>
  <c r="J46" i="66" s="1"/>
  <c r="O9" i="66"/>
  <c r="O11" i="66" s="1"/>
  <c r="E10" i="66"/>
  <c r="E11" i="66"/>
  <c r="G11" i="66"/>
  <c r="G46" i="66" s="1"/>
  <c r="M11" i="66"/>
  <c r="P11" i="66"/>
  <c r="E12" i="66"/>
  <c r="O12" i="66"/>
  <c r="O45" i="66" s="1"/>
  <c r="E13" i="66"/>
  <c r="H13" i="66"/>
  <c r="O13" i="66"/>
  <c r="E17" i="66"/>
  <c r="E18" i="66"/>
  <c r="M18" i="66"/>
  <c r="M45" i="66" s="1"/>
  <c r="E20" i="66"/>
  <c r="E26" i="66"/>
  <c r="E27" i="66"/>
  <c r="E28" i="66"/>
  <c r="M28" i="66"/>
  <c r="F45" i="66"/>
  <c r="G45" i="66"/>
  <c r="I45" i="66"/>
  <c r="I46" i="66" s="1"/>
  <c r="J45" i="66"/>
  <c r="K45" i="66"/>
  <c r="P45" i="66"/>
  <c r="P46" i="66"/>
  <c r="F42" i="49"/>
  <c r="F41" i="49"/>
  <c r="C7" i="43"/>
  <c r="C7" i="64"/>
  <c r="C8" i="64" s="1"/>
  <c r="B7" i="64"/>
  <c r="B8" i="64" s="1"/>
  <c r="C5" i="63"/>
  <c r="C9" i="63" s="1"/>
  <c r="B6" i="63"/>
  <c r="B8" i="63"/>
  <c r="B5" i="42"/>
  <c r="B6" i="42" s="1"/>
  <c r="C5" i="62"/>
  <c r="C5" i="42" s="1"/>
  <c r="C6" i="42"/>
  <c r="C9" i="42" s="1"/>
  <c r="C6" i="62"/>
  <c r="B5" i="61"/>
  <c r="B6" i="61" s="1"/>
  <c r="C6" i="61"/>
  <c r="B6" i="60"/>
  <c r="C6" i="60"/>
  <c r="B10" i="59"/>
  <c r="C10" i="59"/>
  <c r="B9" i="59"/>
  <c r="C9" i="59" s="1"/>
  <c r="B8" i="59"/>
  <c r="C10" i="58"/>
  <c r="C9" i="58"/>
  <c r="C8" i="58"/>
  <c r="C7" i="58" s="1"/>
  <c r="C11" i="58" s="1"/>
  <c r="B10" i="58"/>
  <c r="B9" i="58"/>
  <c r="B8" i="58"/>
  <c r="B7" i="58" s="1"/>
  <c r="B11" i="58" s="1"/>
  <c r="E12" i="19" s="1"/>
  <c r="J12" i="19" s="1"/>
  <c r="N19" i="14"/>
  <c r="N20" i="14" s="1"/>
  <c r="M19" i="14" s="1"/>
  <c r="M17" i="14"/>
  <c r="L9" i="57"/>
  <c r="L14" i="57"/>
  <c r="M14" i="57" s="1"/>
  <c r="K14" i="57"/>
  <c r="Q9" i="57"/>
  <c r="R9" i="57" s="1"/>
  <c r="Q10" i="57"/>
  <c r="R10" i="57"/>
  <c r="C13" i="57" s="1"/>
  <c r="Q11" i="57"/>
  <c r="R11" i="57" s="1"/>
  <c r="U11" i="57" s="1"/>
  <c r="Q12" i="57"/>
  <c r="R12" i="57" s="1"/>
  <c r="C12" i="57" s="1"/>
  <c r="B12" i="57" s="1"/>
  <c r="Q13" i="57"/>
  <c r="R13" i="57" s="1"/>
  <c r="C11" i="57" s="1"/>
  <c r="B11" i="57" s="1"/>
  <c r="I14" i="57"/>
  <c r="J9" i="57"/>
  <c r="Q14" i="57"/>
  <c r="R14" i="57" s="1"/>
  <c r="U14" i="57"/>
  <c r="C15" i="57"/>
  <c r="B15" i="57" s="1"/>
  <c r="F16" i="57"/>
  <c r="B17" i="57"/>
  <c r="U17" i="57"/>
  <c r="S9" i="57" s="1"/>
  <c r="B18" i="57"/>
  <c r="B19" i="57"/>
  <c r="I19" i="57"/>
  <c r="E22" i="57" s="1"/>
  <c r="E21" i="57" s="1"/>
  <c r="C20" i="57"/>
  <c r="C16" i="57" s="1"/>
  <c r="B16" i="57" s="1"/>
  <c r="B22" i="57"/>
  <c r="C22" i="57"/>
  <c r="C21" i="57" s="1"/>
  <c r="E24" i="57"/>
  <c r="E23" i="57" s="1"/>
  <c r="F24" i="57"/>
  <c r="F23" i="57"/>
  <c r="C30" i="57"/>
  <c r="C29" i="57" s="1"/>
  <c r="E30" i="57"/>
  <c r="E29" i="57" s="1"/>
  <c r="F30" i="57"/>
  <c r="F29" i="57" s="1"/>
  <c r="D30" i="57"/>
  <c r="D29" i="57" s="1"/>
  <c r="B32" i="57"/>
  <c r="C32" i="57"/>
  <c r="B33" i="57"/>
  <c r="C33" i="57"/>
  <c r="C34" i="57"/>
  <c r="C36" i="57"/>
  <c r="B39" i="57"/>
  <c r="C39" i="57"/>
  <c r="B40" i="57"/>
  <c r="C42" i="57"/>
  <c r="C41" i="57" s="1"/>
  <c r="B41" i="57" s="1"/>
  <c r="C44" i="57"/>
  <c r="C45" i="57"/>
  <c r="B45" i="57" s="1"/>
  <c r="B46" i="57"/>
  <c r="C55" i="57"/>
  <c r="F20" i="19"/>
  <c r="F17" i="56"/>
  <c r="F16" i="56"/>
  <c r="F15" i="56"/>
  <c r="F13" i="56"/>
  <c r="F12" i="56"/>
  <c r="F11" i="56"/>
  <c r="F7" i="56"/>
  <c r="H7" i="56" s="1"/>
  <c r="D7" i="56" s="1"/>
  <c r="F6" i="56"/>
  <c r="I6" i="56"/>
  <c r="J6" i="56"/>
  <c r="K6" i="56"/>
  <c r="F10" i="56"/>
  <c r="I10" i="56"/>
  <c r="J10" i="56"/>
  <c r="K10" i="56"/>
  <c r="F14" i="56"/>
  <c r="I14" i="56"/>
  <c r="J14" i="56"/>
  <c r="K14" i="56"/>
  <c r="I18" i="56"/>
  <c r="L18" i="56"/>
  <c r="I20" i="56"/>
  <c r="J20" i="56"/>
  <c r="G24" i="56"/>
  <c r="H21" i="15"/>
  <c r="H20" i="15"/>
  <c r="I20" i="15" s="1"/>
  <c r="C13" i="15"/>
  <c r="F8" i="47"/>
  <c r="F7" i="47"/>
  <c r="H9" i="75" s="1"/>
  <c r="F6" i="47"/>
  <c r="D10" i="26"/>
  <c r="D11" i="26"/>
  <c r="D12" i="26"/>
  <c r="D9" i="26"/>
  <c r="C9" i="26" s="1"/>
  <c r="G12" i="18"/>
  <c r="G11" i="18"/>
  <c r="G44" i="18"/>
  <c r="G43" i="18" s="1"/>
  <c r="G35" i="18"/>
  <c r="G34" i="18" s="1"/>
  <c r="G38" i="18"/>
  <c r="G27" i="18"/>
  <c r="G22" i="18"/>
  <c r="G18" i="18"/>
  <c r="H12" i="45"/>
  <c r="H11" i="45"/>
  <c r="W6" i="53"/>
  <c r="W14" i="53"/>
  <c r="Z14" i="53" s="1"/>
  <c r="Y9" i="53"/>
  <c r="Z9" i="53"/>
  <c r="Y6" i="53"/>
  <c r="Y8" i="53"/>
  <c r="Y13" i="53"/>
  <c r="Y3" i="53"/>
  <c r="Y4" i="53"/>
  <c r="Y25" i="53"/>
  <c r="Y26" i="53"/>
  <c r="Y27" i="53"/>
  <c r="T6" i="53"/>
  <c r="T8" i="53"/>
  <c r="T13" i="53"/>
  <c r="Z13" i="53" s="1"/>
  <c r="T25" i="53"/>
  <c r="T26" i="53"/>
  <c r="T27" i="53"/>
  <c r="V4" i="53"/>
  <c r="V20" i="53" s="1"/>
  <c r="V21" i="53" s="1"/>
  <c r="S3" i="53"/>
  <c r="S4" i="53"/>
  <c r="S6" i="53"/>
  <c r="Z4" i="53"/>
  <c r="AA14" i="53"/>
  <c r="AB14" i="53" s="1"/>
  <c r="I18" i="53"/>
  <c r="AA18" i="53"/>
  <c r="AA19" i="53"/>
  <c r="AA20" i="53"/>
  <c r="D22" i="50"/>
  <c r="F8" i="50"/>
  <c r="D12" i="50"/>
  <c r="D15" i="50" s="1"/>
  <c r="D11" i="50" s="1"/>
  <c r="D13" i="50"/>
  <c r="D14" i="50"/>
  <c r="B12" i="50"/>
  <c r="B34" i="49"/>
  <c r="B33" i="49" s="1"/>
  <c r="D37" i="49"/>
  <c r="D36" i="49" s="1"/>
  <c r="F38" i="49"/>
  <c r="D38" i="49" s="1"/>
  <c r="C36" i="49"/>
  <c r="C32" i="49" s="1"/>
  <c r="B36" i="49"/>
  <c r="D10" i="50"/>
  <c r="D17" i="50"/>
  <c r="C17" i="50"/>
  <c r="D18" i="50"/>
  <c r="D20" i="50"/>
  <c r="D24" i="50"/>
  <c r="D9" i="50"/>
  <c r="D9" i="52"/>
  <c r="D12" i="52" s="1"/>
  <c r="B9" i="52"/>
  <c r="B12" i="52" s="1"/>
  <c r="G9" i="52"/>
  <c r="J18" i="49"/>
  <c r="D9" i="49" s="1"/>
  <c r="B9" i="49" s="1"/>
  <c r="B8" i="49" s="1"/>
  <c r="B10" i="49"/>
  <c r="D14" i="49"/>
  <c r="B14" i="49" s="1"/>
  <c r="B13" i="49" s="1"/>
  <c r="B12" i="49" s="1"/>
  <c r="B19" i="49"/>
  <c r="B17" i="49" s="1"/>
  <c r="B39" i="49"/>
  <c r="C10" i="49"/>
  <c r="C8" i="49" s="1"/>
  <c r="C12" i="49"/>
  <c r="C19" i="49"/>
  <c r="C20" i="49"/>
  <c r="C39" i="49"/>
  <c r="D10" i="49"/>
  <c r="D16" i="49"/>
  <c r="J19" i="49"/>
  <c r="D19" i="49"/>
  <c r="D17" i="49" s="1"/>
  <c r="F17" i="49" s="1"/>
  <c r="D22" i="49"/>
  <c r="D24" i="49"/>
  <c r="D39" i="49"/>
  <c r="D11" i="46"/>
  <c r="D12" i="46"/>
  <c r="C12" i="46"/>
  <c r="D13" i="46"/>
  <c r="C13" i="46" s="1"/>
  <c r="D15" i="46"/>
  <c r="D19" i="46"/>
  <c r="G15" i="46"/>
  <c r="D21" i="46"/>
  <c r="D16" i="46"/>
  <c r="B16" i="46" s="1"/>
  <c r="B14" i="46" s="1"/>
  <c r="D17" i="46"/>
  <c r="F13" i="46" s="1"/>
  <c r="B17" i="46"/>
  <c r="D7" i="26"/>
  <c r="C7" i="26" s="1"/>
  <c r="C96" i="17"/>
  <c r="C70" i="17"/>
  <c r="C69" i="17"/>
  <c r="C68" i="17"/>
  <c r="C67" i="17"/>
  <c r="C66" i="17"/>
  <c r="J100" i="17"/>
  <c r="C83" i="17"/>
  <c r="H100" i="17"/>
  <c r="H99" i="17"/>
  <c r="H98" i="17"/>
  <c r="H97" i="17"/>
  <c r="H96" i="17"/>
  <c r="D12" i="17"/>
  <c r="B92" i="15"/>
  <c r="C91" i="15"/>
  <c r="B91" i="15" s="1"/>
  <c r="C18" i="14"/>
  <c r="C25" i="28"/>
  <c r="C14" i="28"/>
  <c r="C55" i="11"/>
  <c r="C67" i="13"/>
  <c r="B11" i="13"/>
  <c r="B12" i="13"/>
  <c r="B13" i="13"/>
  <c r="G8" i="13"/>
  <c r="G55" i="13"/>
  <c r="G56" i="13"/>
  <c r="G57" i="13"/>
  <c r="C33" i="13"/>
  <c r="C30" i="13" s="1"/>
  <c r="C9" i="45"/>
  <c r="C27" i="45"/>
  <c r="B11" i="45"/>
  <c r="B12" i="45"/>
  <c r="B13" i="45"/>
  <c r="B15" i="45"/>
  <c r="B16" i="45"/>
  <c r="C14" i="45"/>
  <c r="C17" i="45" s="1"/>
  <c r="F7" i="48"/>
  <c r="B12" i="48" s="1"/>
  <c r="B11" i="48" s="1"/>
  <c r="C12" i="48"/>
  <c r="C11" i="48" s="1"/>
  <c r="G43" i="48"/>
  <c r="F35" i="48" s="1"/>
  <c r="D10" i="48"/>
  <c r="C35" i="48"/>
  <c r="D35" i="48" s="1"/>
  <c r="C36" i="48"/>
  <c r="D36" i="48" s="1"/>
  <c r="C37" i="48"/>
  <c r="D37" i="48" s="1"/>
  <c r="C38" i="48"/>
  <c r="D38" i="48" s="1"/>
  <c r="G38" i="48" s="1"/>
  <c r="C39" i="48"/>
  <c r="D39" i="48" s="1"/>
  <c r="G39" i="48"/>
  <c r="G37" i="48"/>
  <c r="E35" i="48"/>
  <c r="G35" i="48" s="1"/>
  <c r="F41" i="48"/>
  <c r="C40" i="48"/>
  <c r="D40" i="48" s="1"/>
  <c r="D14" i="48"/>
  <c r="D16" i="48"/>
  <c r="D53" i="48"/>
  <c r="E53" i="48"/>
  <c r="B53" i="48"/>
  <c r="C49" i="48"/>
  <c r="E48" i="48"/>
  <c r="G40" i="48"/>
  <c r="U17" i="11"/>
  <c r="C8" i="13"/>
  <c r="B8" i="13" s="1"/>
  <c r="F8" i="13"/>
  <c r="C14" i="13"/>
  <c r="B14" i="13" s="1"/>
  <c r="F14" i="13"/>
  <c r="C20" i="13"/>
  <c r="H20" i="13" s="1"/>
  <c r="C21" i="13"/>
  <c r="C22" i="13"/>
  <c r="H22" i="13" s="1"/>
  <c r="C24" i="13"/>
  <c r="C25" i="13"/>
  <c r="C26" i="13"/>
  <c r="F20" i="13"/>
  <c r="D20" i="13" s="1"/>
  <c r="D19" i="13" s="1"/>
  <c r="F25" i="13"/>
  <c r="D25" i="13"/>
  <c r="D23" i="13" s="1"/>
  <c r="F26" i="13"/>
  <c r="D26" i="13"/>
  <c r="F21" i="13"/>
  <c r="E21" i="13" s="1"/>
  <c r="F22" i="13"/>
  <c r="E22" i="13" s="1"/>
  <c r="F24" i="13"/>
  <c r="C28" i="13"/>
  <c r="C27" i="13" s="1"/>
  <c r="B28" i="13"/>
  <c r="C29" i="13"/>
  <c r="B29" i="13"/>
  <c r="F30" i="13"/>
  <c r="B32" i="13"/>
  <c r="C35" i="13"/>
  <c r="C37" i="13"/>
  <c r="F34" i="13"/>
  <c r="C39" i="13"/>
  <c r="C38" i="13"/>
  <c r="F40" i="13"/>
  <c r="F38" i="13"/>
  <c r="C42" i="13"/>
  <c r="C43" i="13"/>
  <c r="B43" i="13" s="1"/>
  <c r="C44" i="13"/>
  <c r="F41" i="13"/>
  <c r="C46" i="13"/>
  <c r="C45" i="13"/>
  <c r="F45" i="13"/>
  <c r="C47" i="13"/>
  <c r="F47" i="13"/>
  <c r="B47" i="13" s="1"/>
  <c r="C50" i="13"/>
  <c r="C49" i="13" s="1"/>
  <c r="B49" i="13" s="1"/>
  <c r="F49" i="13"/>
  <c r="C53" i="13"/>
  <c r="C51" i="13" s="1"/>
  <c r="B51" i="13" s="1"/>
  <c r="F51" i="13"/>
  <c r="B54" i="13"/>
  <c r="B55" i="13"/>
  <c r="B56" i="13"/>
  <c r="B57" i="13"/>
  <c r="C60" i="13"/>
  <c r="F59" i="13"/>
  <c r="D40" i="13"/>
  <c r="D38" i="13"/>
  <c r="E40" i="13"/>
  <c r="E38" i="13" s="1"/>
  <c r="I27" i="13"/>
  <c r="F27" i="13"/>
  <c r="B26" i="13"/>
  <c r="I22" i="13"/>
  <c r="I21" i="13"/>
  <c r="I20" i="13"/>
  <c r="C8" i="17"/>
  <c r="B8" i="17" s="1"/>
  <c r="C10" i="17"/>
  <c r="B10" i="17" s="1"/>
  <c r="C11" i="17"/>
  <c r="D7" i="17"/>
  <c r="C16" i="17"/>
  <c r="B16" i="17" s="1"/>
  <c r="B85" i="17"/>
  <c r="B86" i="17"/>
  <c r="L20" i="36"/>
  <c r="E20" i="36"/>
  <c r="M20" i="35"/>
  <c r="E16" i="35"/>
  <c r="E16" i="71" s="1"/>
  <c r="F47" i="18"/>
  <c r="L111" i="37"/>
  <c r="L113" i="37" s="1"/>
  <c r="L114" i="37" s="1"/>
  <c r="L112" i="37"/>
  <c r="I18" i="49"/>
  <c r="F9" i="49"/>
  <c r="F10" i="49"/>
  <c r="I17" i="49"/>
  <c r="I13" i="49"/>
  <c r="J13" i="49"/>
  <c r="I14" i="49"/>
  <c r="J14" i="49"/>
  <c r="I15" i="49"/>
  <c r="J15" i="49"/>
  <c r="I16" i="49"/>
  <c r="J16" i="49"/>
  <c r="I19" i="49"/>
  <c r="J17" i="49"/>
  <c r="I20" i="49"/>
  <c r="J20" i="49"/>
  <c r="I21" i="49"/>
  <c r="J21" i="49"/>
  <c r="I22" i="49"/>
  <c r="J22" i="49"/>
  <c r="I24" i="49"/>
  <c r="J24" i="49"/>
  <c r="D34" i="49"/>
  <c r="D44" i="18"/>
  <c r="D43" i="18"/>
  <c r="D42" i="18" s="1"/>
  <c r="F26" i="18"/>
  <c r="F24" i="18"/>
  <c r="D24" i="18" s="1"/>
  <c r="D23" i="18" s="1"/>
  <c r="D22" i="18" s="1"/>
  <c r="E22" i="18"/>
  <c r="E46" i="18"/>
  <c r="E42" i="18" s="1"/>
  <c r="E9" i="35"/>
  <c r="F33" i="35"/>
  <c r="F34" i="35"/>
  <c r="G9" i="35"/>
  <c r="G9" i="71"/>
  <c r="G11" i="71" s="1"/>
  <c r="G22" i="71" s="1"/>
  <c r="H9" i="35"/>
  <c r="I9" i="35"/>
  <c r="J9" i="35"/>
  <c r="O9" i="35"/>
  <c r="O9" i="71" s="1"/>
  <c r="O11" i="71" s="1"/>
  <c r="E10" i="35"/>
  <c r="F10" i="45"/>
  <c r="H6" i="45"/>
  <c r="E10" i="45" s="1"/>
  <c r="E9" i="45" s="1"/>
  <c r="E17" i="45" s="1"/>
  <c r="F13" i="16"/>
  <c r="E12" i="35"/>
  <c r="O12" i="35"/>
  <c r="O12" i="71"/>
  <c r="E13" i="35"/>
  <c r="E13" i="71" s="1"/>
  <c r="H13" i="35"/>
  <c r="H21" i="35" s="1"/>
  <c r="O13" i="35"/>
  <c r="O13" i="71" s="1"/>
  <c r="E14" i="35"/>
  <c r="E14" i="71" s="1"/>
  <c r="E15" i="35"/>
  <c r="M15" i="35"/>
  <c r="E17" i="35"/>
  <c r="E17" i="71" s="1"/>
  <c r="E18" i="35"/>
  <c r="E18" i="71" s="1"/>
  <c r="E19" i="35"/>
  <c r="E19" i="71" s="1"/>
  <c r="M19" i="35"/>
  <c r="D13" i="48"/>
  <c r="G15" i="47"/>
  <c r="I6" i="47"/>
  <c r="J6" i="47"/>
  <c r="K6" i="47"/>
  <c r="K9" i="47" s="1"/>
  <c r="I7" i="47"/>
  <c r="J7" i="47"/>
  <c r="K7" i="47"/>
  <c r="I8" i="47"/>
  <c r="J8" i="47"/>
  <c r="K8" i="47"/>
  <c r="L9" i="47"/>
  <c r="I11" i="47"/>
  <c r="J11" i="47"/>
  <c r="F12" i="46"/>
  <c r="D10" i="12"/>
  <c r="B10" i="12" s="1"/>
  <c r="B9" i="12" s="1"/>
  <c r="B11" i="12" s="1"/>
  <c r="D73" i="17"/>
  <c r="D83" i="17"/>
  <c r="B28" i="29"/>
  <c r="D31" i="29"/>
  <c r="C28" i="29"/>
  <c r="C29" i="29"/>
  <c r="C30" i="29"/>
  <c r="D30" i="29"/>
  <c r="E28" i="29"/>
  <c r="E30" i="29"/>
  <c r="B29" i="29"/>
  <c r="S21" i="29"/>
  <c r="W21" i="29"/>
  <c r="W19" i="29"/>
  <c r="W20" i="29"/>
  <c r="S5" i="29"/>
  <c r="S7" i="29"/>
  <c r="S8" i="29"/>
  <c r="S9" i="29"/>
  <c r="S11" i="29"/>
  <c r="S19" i="29"/>
  <c r="S20" i="29"/>
  <c r="S12" i="29"/>
  <c r="T4" i="29"/>
  <c r="T13" i="29" s="1"/>
  <c r="T14" i="29" s="1"/>
  <c r="U5" i="29"/>
  <c r="U7" i="29"/>
  <c r="U12" i="29"/>
  <c r="W3" i="29"/>
  <c r="W4" i="29"/>
  <c r="W5" i="29"/>
  <c r="W7" i="29"/>
  <c r="W8" i="29"/>
  <c r="X8" i="29" s="1"/>
  <c r="W9" i="29"/>
  <c r="W10" i="29"/>
  <c r="X10" i="29"/>
  <c r="W11" i="29"/>
  <c r="R3" i="29"/>
  <c r="X3" i="29" s="1"/>
  <c r="R4" i="29"/>
  <c r="R5" i="29"/>
  <c r="R7" i="29"/>
  <c r="G29" i="29"/>
  <c r="G28" i="29"/>
  <c r="X4" i="29"/>
  <c r="V14" i="29"/>
  <c r="Y12" i="29"/>
  <c r="Y11" i="29"/>
  <c r="E59" i="18"/>
  <c r="D59" i="18"/>
  <c r="K68" i="18"/>
  <c r="L68" i="18" s="1"/>
  <c r="C44" i="18"/>
  <c r="C43" i="18"/>
  <c r="D46" i="18"/>
  <c r="E8" i="18"/>
  <c r="D8" i="18"/>
  <c r="F44" i="18"/>
  <c r="F43" i="18" s="1"/>
  <c r="C46" i="18"/>
  <c r="E29" i="18"/>
  <c r="D29" i="18"/>
  <c r="D27" i="18" s="1"/>
  <c r="E30" i="18"/>
  <c r="E20" i="18"/>
  <c r="E18" i="18" s="1"/>
  <c r="D20" i="18"/>
  <c r="B41" i="18"/>
  <c r="E72" i="17"/>
  <c r="E13" i="17"/>
  <c r="E12" i="17" s="1"/>
  <c r="C13" i="17"/>
  <c r="C12" i="17" s="1"/>
  <c r="F97" i="17" s="1"/>
  <c r="C14" i="17"/>
  <c r="B14" i="17" s="1"/>
  <c r="C15" i="17"/>
  <c r="C38" i="17"/>
  <c r="C25" i="17"/>
  <c r="C74" i="17"/>
  <c r="C73" i="17" s="1"/>
  <c r="C79" i="17"/>
  <c r="C78" i="17" s="1"/>
  <c r="F101" i="17" s="1"/>
  <c r="C81" i="17"/>
  <c r="B81" i="17" s="1"/>
  <c r="C85" i="15"/>
  <c r="B85" i="15" s="1"/>
  <c r="I98" i="15"/>
  <c r="F8" i="18"/>
  <c r="D23" i="26"/>
  <c r="D13" i="26"/>
  <c r="F59" i="18"/>
  <c r="L30" i="18"/>
  <c r="L28" i="18"/>
  <c r="F19" i="18" s="1"/>
  <c r="D19" i="18" s="1"/>
  <c r="F20" i="18"/>
  <c r="L27" i="18"/>
  <c r="L29" i="18"/>
  <c r="F29" i="18" s="1"/>
  <c r="F32" i="18"/>
  <c r="F34" i="18"/>
  <c r="F34" i="17"/>
  <c r="C6" i="40"/>
  <c r="C5" i="40" s="1"/>
  <c r="C9" i="40" s="1"/>
  <c r="B5" i="41"/>
  <c r="C5" i="41" s="1"/>
  <c r="C6" i="41"/>
  <c r="B6" i="41"/>
  <c r="B5" i="40"/>
  <c r="B9" i="40" s="1"/>
  <c r="J17" i="14"/>
  <c r="I19" i="15"/>
  <c r="E8" i="15" s="1"/>
  <c r="E7" i="15" s="1"/>
  <c r="I19" i="11"/>
  <c r="Y14" i="29"/>
  <c r="Y13" i="29"/>
  <c r="B9" i="17"/>
  <c r="F99" i="17"/>
  <c r="E18" i="17"/>
  <c r="E19" i="17"/>
  <c r="E20" i="17"/>
  <c r="E21" i="17"/>
  <c r="E22" i="17"/>
  <c r="E23" i="17"/>
  <c r="E24" i="17"/>
  <c r="E59" i="17"/>
  <c r="E61" i="17"/>
  <c r="E62" i="17"/>
  <c r="E63" i="17"/>
  <c r="E64" i="17"/>
  <c r="E65" i="17"/>
  <c r="E66" i="17"/>
  <c r="E67" i="17"/>
  <c r="E68" i="17"/>
  <c r="E69" i="17"/>
  <c r="E70" i="17"/>
  <c r="E71" i="17"/>
  <c r="E31" i="17"/>
  <c r="E32" i="17"/>
  <c r="E33" i="17"/>
  <c r="E34" i="17"/>
  <c r="E35" i="17"/>
  <c r="D25" i="17"/>
  <c r="C89" i="15"/>
  <c r="C8" i="26"/>
  <c r="J10" i="13"/>
  <c r="J6" i="13"/>
  <c r="J14" i="13"/>
  <c r="B10" i="15"/>
  <c r="F24" i="15"/>
  <c r="C24" i="15"/>
  <c r="B24" i="15" s="1"/>
  <c r="C8" i="15"/>
  <c r="B8" i="15" s="1"/>
  <c r="C11" i="15"/>
  <c r="C30" i="15"/>
  <c r="C29" i="15" s="1"/>
  <c r="C43" i="15"/>
  <c r="C59" i="15"/>
  <c r="C60" i="15"/>
  <c r="C76" i="15"/>
  <c r="C15" i="15"/>
  <c r="C17" i="15"/>
  <c r="C21" i="15"/>
  <c r="C22" i="15"/>
  <c r="B22" i="15" s="1"/>
  <c r="C26" i="15"/>
  <c r="B26" i="15" s="1"/>
  <c r="L215" i="4" s="1"/>
  <c r="C221" i="4" s="1"/>
  <c r="L112" i="4" s="1"/>
  <c r="C31" i="15"/>
  <c r="B31" i="15" s="1"/>
  <c r="C33" i="15"/>
  <c r="B33" i="15" s="1"/>
  <c r="C35" i="15"/>
  <c r="C37" i="15"/>
  <c r="B37" i="15" s="1"/>
  <c r="C41" i="15"/>
  <c r="I99" i="15" s="1"/>
  <c r="J99" i="15" s="1"/>
  <c r="C39" i="15"/>
  <c r="B39" i="15" s="1"/>
  <c r="C45" i="15"/>
  <c r="B45" i="15" s="1"/>
  <c r="AB4" i="15"/>
  <c r="L4" i="15" s="1"/>
  <c r="K4" i="15" s="1"/>
  <c r="L3" i="15"/>
  <c r="M14" i="15"/>
  <c r="M45" i="15" s="1"/>
  <c r="L36" i="15"/>
  <c r="L33" i="15"/>
  <c r="L34" i="15"/>
  <c r="L43" i="15"/>
  <c r="L42" i="15"/>
  <c r="C61" i="15"/>
  <c r="C65" i="15"/>
  <c r="I103" i="15"/>
  <c r="J103" i="15" s="1"/>
  <c r="C66" i="15"/>
  <c r="C63" i="15" s="1"/>
  <c r="C68" i="15"/>
  <c r="B68" i="15" s="1"/>
  <c r="C70" i="15"/>
  <c r="C72" i="15"/>
  <c r="C78" i="15"/>
  <c r="C81" i="15"/>
  <c r="C80" i="15" s="1"/>
  <c r="C84" i="15"/>
  <c r="C87" i="15"/>
  <c r="F8" i="15"/>
  <c r="F11" i="15"/>
  <c r="F12" i="15"/>
  <c r="B12" i="15" s="1"/>
  <c r="F13" i="15"/>
  <c r="F17" i="15"/>
  <c r="F15" i="15"/>
  <c r="B15" i="15" s="1"/>
  <c r="F20" i="15"/>
  <c r="F29" i="15"/>
  <c r="F47" i="15"/>
  <c r="F61" i="15"/>
  <c r="B61" i="15" s="1"/>
  <c r="F64" i="15"/>
  <c r="F65" i="15"/>
  <c r="F67" i="15"/>
  <c r="F68" i="15"/>
  <c r="F70" i="15"/>
  <c r="F72" i="15"/>
  <c r="F74" i="15"/>
  <c r="F79" i="15"/>
  <c r="F82" i="15"/>
  <c r="D82" i="15" s="1"/>
  <c r="D80" i="15" s="1"/>
  <c r="F85" i="15"/>
  <c r="F87" i="15"/>
  <c r="F89" i="15"/>
  <c r="B89" i="15" s="1"/>
  <c r="B27" i="15"/>
  <c r="B28" i="15"/>
  <c r="B35" i="15"/>
  <c r="B19" i="15"/>
  <c r="B18" i="15"/>
  <c r="B17" i="15"/>
  <c r="B90" i="15"/>
  <c r="B62" i="15"/>
  <c r="B60" i="15"/>
  <c r="B32" i="15"/>
  <c r="B34" i="15"/>
  <c r="B36" i="15"/>
  <c r="B38" i="15"/>
  <c r="B40" i="15"/>
  <c r="B42" i="15"/>
  <c r="B43" i="15"/>
  <c r="B44" i="15"/>
  <c r="B46" i="15"/>
  <c r="B48" i="15"/>
  <c r="B51" i="15"/>
  <c r="B53" i="15"/>
  <c r="B88" i="15"/>
  <c r="B75" i="15"/>
  <c r="G15" i="15"/>
  <c r="G93" i="15"/>
  <c r="Q9" i="11"/>
  <c r="R9" i="11" s="1"/>
  <c r="Q10" i="11"/>
  <c r="R10" i="11" s="1"/>
  <c r="Q11" i="11"/>
  <c r="R11" i="11" s="1"/>
  <c r="U11" i="11" s="1"/>
  <c r="Q12" i="11"/>
  <c r="R12" i="11"/>
  <c r="U12" i="11" s="1"/>
  <c r="Q13" i="11"/>
  <c r="R13" i="11" s="1"/>
  <c r="C11" i="11" s="1"/>
  <c r="B11" i="11" s="1"/>
  <c r="C15" i="11"/>
  <c r="B15" i="11" s="1"/>
  <c r="C22" i="11"/>
  <c r="K14" i="11"/>
  <c r="K13" i="11" s="1"/>
  <c r="M13" i="11" s="1"/>
  <c r="I14" i="11"/>
  <c r="C30" i="11"/>
  <c r="C34" i="11"/>
  <c r="C42" i="11"/>
  <c r="C41" i="11" s="1"/>
  <c r="B41" i="11" s="1"/>
  <c r="C44" i="11"/>
  <c r="C43" i="11" s="1"/>
  <c r="F51" i="18"/>
  <c r="C58" i="18"/>
  <c r="B58" i="18" s="1"/>
  <c r="C57" i="18"/>
  <c r="C56" i="18"/>
  <c r="C55" i="18"/>
  <c r="C54" i="18"/>
  <c r="B54" i="18" s="1"/>
  <c r="G54" i="18"/>
  <c r="C53" i="18"/>
  <c r="C51" i="18" s="1"/>
  <c r="C52" i="18"/>
  <c r="B15" i="13"/>
  <c r="B16" i="13"/>
  <c r="B17" i="13"/>
  <c r="B40" i="11"/>
  <c r="C39" i="11"/>
  <c r="B39" i="11" s="1"/>
  <c r="C36" i="11"/>
  <c r="C37" i="11" s="1"/>
  <c r="B37" i="11" s="1"/>
  <c r="C32" i="11"/>
  <c r="C33" i="11"/>
  <c r="B34" i="11"/>
  <c r="F30" i="11"/>
  <c r="F24" i="11"/>
  <c r="F23" i="11" s="1"/>
  <c r="B17" i="11"/>
  <c r="B18" i="11"/>
  <c r="B19" i="11"/>
  <c r="C20" i="11"/>
  <c r="B46" i="11"/>
  <c r="C45" i="11"/>
  <c r="B45" i="11" s="1"/>
  <c r="F16" i="11"/>
  <c r="Q14" i="11"/>
  <c r="R14" i="11" s="1"/>
  <c r="U14" i="11" s="1"/>
  <c r="L9" i="11"/>
  <c r="L14" i="11"/>
  <c r="D38" i="17"/>
  <c r="D78" i="17"/>
  <c r="B78" i="17" s="1"/>
  <c r="Q30" i="19"/>
  <c r="K29" i="18"/>
  <c r="C29" i="18" s="1"/>
  <c r="G57" i="18"/>
  <c r="G56" i="18"/>
  <c r="G55" i="18"/>
  <c r="G53" i="18"/>
  <c r="G52" i="18"/>
  <c r="L23" i="18"/>
  <c r="L24" i="18"/>
  <c r="L25" i="18"/>
  <c r="L26" i="18"/>
  <c r="G16" i="18"/>
  <c r="C10" i="18"/>
  <c r="B16" i="15"/>
  <c r="B40" i="13"/>
  <c r="L31" i="18"/>
  <c r="L32" i="18"/>
  <c r="L34" i="18"/>
  <c r="K32" i="18"/>
  <c r="K23" i="18"/>
  <c r="K24" i="18"/>
  <c r="K25" i="18"/>
  <c r="K26" i="18"/>
  <c r="C9" i="18" s="1"/>
  <c r="C13" i="18"/>
  <c r="C14" i="18"/>
  <c r="B14" i="18" s="1"/>
  <c r="C16" i="18"/>
  <c r="B10" i="18"/>
  <c r="B67" i="15"/>
  <c r="B66" i="15"/>
  <c r="E39" i="17"/>
  <c r="E40" i="17"/>
  <c r="E41" i="17"/>
  <c r="E42" i="17"/>
  <c r="E43" i="17"/>
  <c r="E44" i="17"/>
  <c r="E45" i="17"/>
  <c r="E46" i="17"/>
  <c r="E47" i="17"/>
  <c r="E48" i="17"/>
  <c r="E49" i="17"/>
  <c r="E50" i="17"/>
  <c r="E51" i="17"/>
  <c r="E52" i="17"/>
  <c r="E53" i="17"/>
  <c r="E54" i="17"/>
  <c r="E55" i="17"/>
  <c r="E56" i="17"/>
  <c r="E57" i="17"/>
  <c r="B47" i="18"/>
  <c r="H48" i="18"/>
  <c r="F48" i="18" s="1"/>
  <c r="B48" i="18" s="1"/>
  <c r="B49" i="18"/>
  <c r="B50" i="18"/>
  <c r="J47" i="18"/>
  <c r="J48" i="18" s="1"/>
  <c r="J49" i="18"/>
  <c r="B11" i="17"/>
  <c r="B84" i="17"/>
  <c r="J28" i="36"/>
  <c r="B77" i="17"/>
  <c r="B55" i="18"/>
  <c r="G58" i="18"/>
  <c r="C59" i="18"/>
  <c r="F33" i="36"/>
  <c r="G32" i="36"/>
  <c r="E39" i="36" s="1"/>
  <c r="E40" i="36" s="1"/>
  <c r="F9" i="36" s="1"/>
  <c r="F11" i="36" s="1"/>
  <c r="P7" i="19"/>
  <c r="P8" i="19"/>
  <c r="P9" i="19" s="1"/>
  <c r="H11" i="35"/>
  <c r="H13" i="36"/>
  <c r="H21" i="36" s="1"/>
  <c r="O10" i="19"/>
  <c r="G5" i="19"/>
  <c r="I5" i="19" s="1"/>
  <c r="O6" i="19"/>
  <c r="O4" i="19"/>
  <c r="N3" i="19"/>
  <c r="F21" i="35"/>
  <c r="G21" i="35"/>
  <c r="I21" i="35"/>
  <c r="J21" i="35"/>
  <c r="K21" i="35"/>
  <c r="P21" i="35"/>
  <c r="N13" i="36"/>
  <c r="N12" i="36"/>
  <c r="E13" i="36"/>
  <c r="E12" i="36"/>
  <c r="E21" i="36" s="1"/>
  <c r="F21" i="36"/>
  <c r="I21" i="36"/>
  <c r="J21" i="36"/>
  <c r="O21" i="36"/>
  <c r="L11" i="36"/>
  <c r="O11" i="36"/>
  <c r="O22" i="36" s="1"/>
  <c r="M11" i="35"/>
  <c r="P11" i="35"/>
  <c r="P22" i="35" s="1"/>
  <c r="L15" i="36"/>
  <c r="L21" i="36"/>
  <c r="M21" i="35"/>
  <c r="L19" i="36"/>
  <c r="M19" i="71" s="1"/>
  <c r="M21" i="71" s="1"/>
  <c r="M22" i="71" s="1"/>
  <c r="I9" i="36"/>
  <c r="I11" i="36"/>
  <c r="I56" i="66" s="1"/>
  <c r="O21" i="35"/>
  <c r="J9" i="36"/>
  <c r="J11" i="36" s="1"/>
  <c r="J22" i="36" s="1"/>
  <c r="J11" i="35"/>
  <c r="N10" i="36"/>
  <c r="N4" i="37"/>
  <c r="D5" i="37"/>
  <c r="N5" i="37" s="1"/>
  <c r="N6" i="37"/>
  <c r="D7" i="37"/>
  <c r="N7" i="37" s="1"/>
  <c r="D8" i="37"/>
  <c r="N8" i="37" s="1"/>
  <c r="N9" i="37"/>
  <c r="N10" i="37"/>
  <c r="N11" i="37"/>
  <c r="N12" i="37"/>
  <c r="D13" i="37"/>
  <c r="N14" i="37"/>
  <c r="N15" i="37"/>
  <c r="N16" i="37"/>
  <c r="N17" i="37"/>
  <c r="N18" i="37"/>
  <c r="N19" i="37"/>
  <c r="N20" i="37"/>
  <c r="L15" i="66" s="1"/>
  <c r="N15" i="66" s="1"/>
  <c r="N21" i="37"/>
  <c r="N22" i="37"/>
  <c r="N23" i="37"/>
  <c r="N24" i="37"/>
  <c r="N25" i="37"/>
  <c r="O113" i="37" s="1"/>
  <c r="L26" i="66" s="1"/>
  <c r="N26" i="37"/>
  <c r="N27" i="37"/>
  <c r="N28" i="37"/>
  <c r="K36" i="68" s="1"/>
  <c r="M36" i="68" s="1"/>
  <c r="P36" i="68" s="1"/>
  <c r="N29" i="37"/>
  <c r="N30" i="37"/>
  <c r="N31" i="37"/>
  <c r="N32" i="37"/>
  <c r="N33" i="37"/>
  <c r="N34" i="37"/>
  <c r="N35" i="37"/>
  <c r="N36" i="37"/>
  <c r="N37" i="37"/>
  <c r="D38" i="37"/>
  <c r="N39" i="37"/>
  <c r="N40" i="37"/>
  <c r="N41" i="37"/>
  <c r="N42" i="37"/>
  <c r="O114" i="37" s="1"/>
  <c r="L27" i="66" s="1"/>
  <c r="N27" i="66" s="1"/>
  <c r="N43" i="37"/>
  <c r="N44" i="37"/>
  <c r="N45" i="37"/>
  <c r="N46" i="37"/>
  <c r="N47" i="37"/>
  <c r="N48" i="37"/>
  <c r="N49" i="37"/>
  <c r="N50" i="37"/>
  <c r="N51" i="37"/>
  <c r="N52" i="37"/>
  <c r="D53" i="37"/>
  <c r="D54" i="37"/>
  <c r="N54" i="37" s="1"/>
  <c r="D55" i="37"/>
  <c r="D56" i="37"/>
  <c r="N56" i="37"/>
  <c r="D57" i="37"/>
  <c r="N57" i="37" s="1"/>
  <c r="D58" i="37"/>
  <c r="N58" i="37" s="1"/>
  <c r="D59" i="37"/>
  <c r="D60" i="37"/>
  <c r="I60" i="37" s="1"/>
  <c r="N60" i="37"/>
  <c r="D61" i="37"/>
  <c r="D62" i="37"/>
  <c r="N62" i="37" s="1"/>
  <c r="D63" i="37"/>
  <c r="N63" i="37" s="1"/>
  <c r="D64" i="37"/>
  <c r="D65" i="37"/>
  <c r="D66" i="37"/>
  <c r="I66" i="37" s="1"/>
  <c r="L66" i="37" s="1"/>
  <c r="N66" i="37"/>
  <c r="D67" i="37"/>
  <c r="N67" i="37" s="1"/>
  <c r="D68" i="37"/>
  <c r="D69" i="37"/>
  <c r="D70" i="37"/>
  <c r="N70" i="37"/>
  <c r="D71" i="37"/>
  <c r="D72" i="37"/>
  <c r="D73" i="37"/>
  <c r="D74" i="37"/>
  <c r="D75" i="37"/>
  <c r="N75" i="37" s="1"/>
  <c r="D76" i="37"/>
  <c r="N76" i="37" s="1"/>
  <c r="D77" i="37"/>
  <c r="N77" i="37" s="1"/>
  <c r="D78" i="37"/>
  <c r="I78" i="37" s="1"/>
  <c r="N78" i="37"/>
  <c r="D79" i="37"/>
  <c r="D80" i="37"/>
  <c r="D81" i="37"/>
  <c r="N81" i="37" s="1"/>
  <c r="D82" i="37"/>
  <c r="D83" i="37"/>
  <c r="N83" i="37" s="1"/>
  <c r="D84" i="37"/>
  <c r="D85" i="37"/>
  <c r="N85" i="37" s="1"/>
  <c r="D86" i="37"/>
  <c r="I86" i="37" s="1"/>
  <c r="N86" i="37"/>
  <c r="D87" i="37"/>
  <c r="D88" i="37"/>
  <c r="D89" i="37"/>
  <c r="D90" i="37"/>
  <c r="N90" i="37" s="1"/>
  <c r="D91" i="37"/>
  <c r="N91" i="37" s="1"/>
  <c r="D92" i="37"/>
  <c r="I92" i="37" s="1"/>
  <c r="L92" i="37" s="1"/>
  <c r="N92" i="37"/>
  <c r="D93" i="37"/>
  <c r="N93" i="37" s="1"/>
  <c r="D94" i="37"/>
  <c r="D95" i="37"/>
  <c r="D96" i="37"/>
  <c r="D97" i="37"/>
  <c r="N97" i="37" s="1"/>
  <c r="D98" i="37"/>
  <c r="I98" i="37" s="1"/>
  <c r="N98" i="37"/>
  <c r="D99" i="37"/>
  <c r="N99" i="37" s="1"/>
  <c r="D100" i="37"/>
  <c r="D101" i="37"/>
  <c r="D102" i="37"/>
  <c r="N102" i="37"/>
  <c r="D103" i="37"/>
  <c r="D104" i="37"/>
  <c r="N105" i="37"/>
  <c r="N106" i="37"/>
  <c r="N107" i="37"/>
  <c r="M10" i="37"/>
  <c r="M17" i="37"/>
  <c r="M19" i="37"/>
  <c r="M48" i="37"/>
  <c r="M49" i="37"/>
  <c r="I10" i="37"/>
  <c r="L10" i="37"/>
  <c r="I17" i="37"/>
  <c r="L17" i="37"/>
  <c r="I19" i="37"/>
  <c r="L19" i="37"/>
  <c r="I48" i="37"/>
  <c r="L48" i="37"/>
  <c r="I49" i="37"/>
  <c r="L49" i="37"/>
  <c r="K108" i="37"/>
  <c r="K109" i="37"/>
  <c r="J108" i="37"/>
  <c r="J109" i="37"/>
  <c r="I4" i="37"/>
  <c r="L4" i="37"/>
  <c r="I5" i="37"/>
  <c r="I6" i="37"/>
  <c r="I9" i="37"/>
  <c r="L9" i="37" s="1"/>
  <c r="I11" i="37"/>
  <c r="L11" i="37" s="1"/>
  <c r="I12" i="37"/>
  <c r="L12" i="37" s="1"/>
  <c r="I14" i="37"/>
  <c r="L14" i="37" s="1"/>
  <c r="I15" i="37"/>
  <c r="I16" i="37"/>
  <c r="L16" i="37" s="1"/>
  <c r="I18" i="37"/>
  <c r="L18" i="37" s="1"/>
  <c r="I20" i="37"/>
  <c r="L20" i="37" s="1"/>
  <c r="I21" i="37"/>
  <c r="L21" i="37" s="1"/>
  <c r="I22" i="37"/>
  <c r="I23" i="37"/>
  <c r="L23" i="37" s="1"/>
  <c r="I24" i="37"/>
  <c r="L24" i="37" s="1"/>
  <c r="I25" i="37"/>
  <c r="L25" i="37" s="1"/>
  <c r="I26" i="37"/>
  <c r="L26" i="37" s="1"/>
  <c r="I27" i="37"/>
  <c r="L27" i="37"/>
  <c r="I28" i="37"/>
  <c r="L28" i="37" s="1"/>
  <c r="I29" i="37"/>
  <c r="L29" i="37" s="1"/>
  <c r="I30" i="37"/>
  <c r="L30" i="37"/>
  <c r="I31" i="37"/>
  <c r="I32" i="37"/>
  <c r="L32" i="37" s="1"/>
  <c r="I33" i="37"/>
  <c r="L33" i="37"/>
  <c r="I34" i="37"/>
  <c r="L34" i="37"/>
  <c r="I35" i="37"/>
  <c r="I36" i="37"/>
  <c r="L36" i="37" s="1"/>
  <c r="I37" i="37"/>
  <c r="L37" i="37" s="1"/>
  <c r="I39" i="37"/>
  <c r="L39" i="37"/>
  <c r="I40" i="37"/>
  <c r="L40" i="37" s="1"/>
  <c r="I41" i="37"/>
  <c r="L41" i="37" s="1"/>
  <c r="I42" i="37"/>
  <c r="L42" i="37"/>
  <c r="I43" i="37"/>
  <c r="I44" i="37"/>
  <c r="L44" i="37" s="1"/>
  <c r="I45" i="37"/>
  <c r="L45" i="37"/>
  <c r="I46" i="37"/>
  <c r="L46" i="37" s="1"/>
  <c r="I47" i="37"/>
  <c r="L47" i="37" s="1"/>
  <c r="I50" i="37"/>
  <c r="L50" i="37"/>
  <c r="I51" i="37"/>
  <c r="L51" i="37" s="1"/>
  <c r="I52" i="37"/>
  <c r="I56" i="37"/>
  <c r="L56" i="37" s="1"/>
  <c r="I62" i="37"/>
  <c r="L62" i="37" s="1"/>
  <c r="I67" i="37"/>
  <c r="L67" i="37" s="1"/>
  <c r="I70" i="37"/>
  <c r="I76" i="37"/>
  <c r="L76" i="37" s="1"/>
  <c r="I77" i="37"/>
  <c r="L77" i="37" s="1"/>
  <c r="I83" i="37"/>
  <c r="L83" i="37" s="1"/>
  <c r="I85" i="37"/>
  <c r="L86" i="37"/>
  <c r="I91" i="37"/>
  <c r="L91" i="37" s="1"/>
  <c r="I97" i="37"/>
  <c r="L98" i="37"/>
  <c r="I105" i="37"/>
  <c r="L105" i="37" s="1"/>
  <c r="I106" i="37"/>
  <c r="I107" i="37"/>
  <c r="L107" i="37" s="1"/>
  <c r="M4" i="37"/>
  <c r="M5" i="37"/>
  <c r="M6" i="37"/>
  <c r="M7" i="37"/>
  <c r="M8" i="37"/>
  <c r="M9" i="37"/>
  <c r="M11" i="37"/>
  <c r="M12" i="37"/>
  <c r="M13" i="37"/>
  <c r="M14" i="37"/>
  <c r="M15" i="37"/>
  <c r="M16" i="37"/>
  <c r="M18" i="37"/>
  <c r="M20" i="37"/>
  <c r="M21" i="37"/>
  <c r="M22" i="37"/>
  <c r="M23" i="37"/>
  <c r="M24" i="37"/>
  <c r="M25" i="37"/>
  <c r="M26" i="37"/>
  <c r="M27" i="37"/>
  <c r="M28" i="37"/>
  <c r="M29" i="37"/>
  <c r="M30" i="37"/>
  <c r="M31" i="37"/>
  <c r="M32" i="37"/>
  <c r="M33" i="37"/>
  <c r="M34" i="37"/>
  <c r="M35" i="37"/>
  <c r="M36" i="37"/>
  <c r="M37" i="37"/>
  <c r="M38" i="37"/>
  <c r="M39" i="37"/>
  <c r="M40" i="37"/>
  <c r="M41" i="37"/>
  <c r="M42" i="37"/>
  <c r="M43" i="37"/>
  <c r="M44" i="37"/>
  <c r="M45" i="37"/>
  <c r="M46" i="37"/>
  <c r="M47" i="37"/>
  <c r="M50" i="37"/>
  <c r="M51" i="37"/>
  <c r="M52" i="37"/>
  <c r="M53" i="37"/>
  <c r="M54" i="37"/>
  <c r="M55" i="37"/>
  <c r="M56" i="37"/>
  <c r="M57" i="37"/>
  <c r="M58" i="37"/>
  <c r="M59" i="37"/>
  <c r="M60" i="37"/>
  <c r="M61" i="37"/>
  <c r="M62" i="37"/>
  <c r="M63" i="37"/>
  <c r="M64" i="37"/>
  <c r="M65" i="37"/>
  <c r="M66" i="37"/>
  <c r="M67" i="37"/>
  <c r="M68" i="37"/>
  <c r="M69" i="37"/>
  <c r="M70" i="37"/>
  <c r="M71" i="37"/>
  <c r="M72" i="37"/>
  <c r="M73" i="37"/>
  <c r="M74" i="37"/>
  <c r="M75" i="37"/>
  <c r="M76" i="37"/>
  <c r="M77" i="37"/>
  <c r="M78" i="37"/>
  <c r="M79" i="37"/>
  <c r="M80" i="37"/>
  <c r="M81" i="37"/>
  <c r="M82" i="37"/>
  <c r="M83" i="37"/>
  <c r="M84" i="37"/>
  <c r="M85" i="37"/>
  <c r="M86" i="37"/>
  <c r="M87" i="37"/>
  <c r="M88" i="37"/>
  <c r="M89" i="37"/>
  <c r="M90" i="37"/>
  <c r="M91" i="37"/>
  <c r="M92" i="37"/>
  <c r="M93" i="37"/>
  <c r="M94" i="37"/>
  <c r="M95" i="37"/>
  <c r="M96" i="37"/>
  <c r="M97" i="37"/>
  <c r="M98" i="37"/>
  <c r="M99" i="37"/>
  <c r="M100" i="37"/>
  <c r="M101" i="37"/>
  <c r="M102" i="37"/>
  <c r="M103" i="37"/>
  <c r="M104" i="37"/>
  <c r="M105" i="37"/>
  <c r="M106" i="37"/>
  <c r="M107" i="37"/>
  <c r="L5" i="37"/>
  <c r="L15" i="37"/>
  <c r="L22" i="37"/>
  <c r="L31" i="37"/>
  <c r="L35" i="37"/>
  <c r="L43" i="37"/>
  <c r="L52" i="37"/>
  <c r="L60" i="37"/>
  <c r="L70" i="37"/>
  <c r="L78" i="37"/>
  <c r="L85" i="37"/>
  <c r="L97" i="37"/>
  <c r="L106" i="37"/>
  <c r="G9" i="36"/>
  <c r="G11" i="36"/>
  <c r="G11" i="35"/>
  <c r="G17" i="36"/>
  <c r="G21" i="36" s="1"/>
  <c r="G22" i="36" s="1"/>
  <c r="E9" i="36"/>
  <c r="N9" i="36"/>
  <c r="N56" i="68" s="1"/>
  <c r="D22" i="36"/>
  <c r="C22" i="36"/>
  <c r="E10" i="36"/>
  <c r="H42" i="13"/>
  <c r="L10" i="14"/>
  <c r="M10" i="14"/>
  <c r="N10" i="14"/>
  <c r="M13" i="14"/>
  <c r="L13" i="14"/>
  <c r="M9" i="14"/>
  <c r="M8" i="14"/>
  <c r="M11" i="14"/>
  <c r="H14" i="30"/>
  <c r="D13" i="30"/>
  <c r="F13" i="30"/>
  <c r="G13" i="30"/>
  <c r="E10" i="30"/>
  <c r="E13" i="30" s="1"/>
  <c r="C8" i="30"/>
  <c r="C7" i="30"/>
  <c r="B6" i="30"/>
  <c r="B3" i="30"/>
  <c r="B13" i="30" s="1"/>
  <c r="C32" i="18"/>
  <c r="C33" i="18"/>
  <c r="K28" i="18"/>
  <c r="C19" i="18"/>
  <c r="C18" i="18" s="1"/>
  <c r="K27" i="18"/>
  <c r="C23" i="18"/>
  <c r="C24" i="18"/>
  <c r="J68" i="18"/>
  <c r="C25" i="18"/>
  <c r="K31" i="18"/>
  <c r="C35" i="18" s="1"/>
  <c r="C36" i="18"/>
  <c r="K34" i="18"/>
  <c r="C38" i="18" s="1"/>
  <c r="B38" i="18" s="1"/>
  <c r="C40" i="18"/>
  <c r="K30" i="18"/>
  <c r="I65" i="13"/>
  <c r="B23" i="15"/>
  <c r="B16" i="18"/>
  <c r="B31" i="13"/>
  <c r="B33" i="13"/>
  <c r="B30" i="13" s="1"/>
  <c r="B36" i="13"/>
  <c r="B48" i="13"/>
  <c r="B52" i="13"/>
  <c r="B53" i="13"/>
  <c r="B26" i="18"/>
  <c r="B59" i="18"/>
  <c r="B11" i="18"/>
  <c r="B12" i="18"/>
  <c r="B13" i="18"/>
  <c r="B15" i="18"/>
  <c r="B15" i="17"/>
  <c r="B13" i="17"/>
  <c r="B42" i="13"/>
  <c r="B35" i="13"/>
  <c r="B46" i="13"/>
  <c r="B28" i="18"/>
  <c r="B82" i="17"/>
  <c r="B31" i="18"/>
  <c r="B76" i="17"/>
  <c r="B75" i="17"/>
  <c r="B80" i="17"/>
  <c r="B79" i="17"/>
  <c r="B10" i="13"/>
  <c r="L35" i="15"/>
  <c r="L40" i="15"/>
  <c r="B30" i="18"/>
  <c r="B21" i="18"/>
  <c r="B39" i="18"/>
  <c r="B74" i="17"/>
  <c r="L38" i="15"/>
  <c r="L41" i="15"/>
  <c r="L37" i="15"/>
  <c r="L39" i="15"/>
  <c r="L32" i="15"/>
  <c r="B72" i="15"/>
  <c r="N8" i="14"/>
  <c r="L8" i="14"/>
  <c r="N9" i="14"/>
  <c r="L9" i="14"/>
  <c r="E13" i="26"/>
  <c r="C16" i="28"/>
  <c r="B16" i="28" s="1"/>
  <c r="C15" i="28"/>
  <c r="B15" i="28" s="1"/>
  <c r="B8" i="28"/>
  <c r="B9" i="28"/>
  <c r="B10" i="28"/>
  <c r="B11" i="28"/>
  <c r="B12" i="28"/>
  <c r="B13" i="28"/>
  <c r="B7" i="28"/>
  <c r="L307" i="4"/>
  <c r="L193" i="4"/>
  <c r="L195" i="4"/>
  <c r="L311" i="4"/>
  <c r="L205" i="4"/>
  <c r="L207" i="4"/>
  <c r="C33" i="4"/>
  <c r="L12" i="4" s="1"/>
  <c r="L82" i="4" s="1"/>
  <c r="L167" i="4"/>
  <c r="C171" i="4" s="1"/>
  <c r="L148" i="4"/>
  <c r="L142" i="4"/>
  <c r="L180" i="4"/>
  <c r="C184" i="4" s="1"/>
  <c r="L150" i="4" s="1"/>
  <c r="L182" i="4"/>
  <c r="B73" i="15"/>
  <c r="B71" i="15"/>
  <c r="B70" i="15"/>
  <c r="B69" i="15"/>
  <c r="B25" i="15"/>
  <c r="K7" i="15"/>
  <c r="K9" i="15"/>
  <c r="K8" i="15"/>
  <c r="L228" i="4"/>
  <c r="L239" i="4"/>
  <c r="L293" i="4"/>
  <c r="Q78" i="4"/>
  <c r="L80" i="4" s="1"/>
  <c r="I14" i="1"/>
  <c r="I31" i="1"/>
  <c r="I34" i="1"/>
  <c r="H29" i="3"/>
  <c r="C32" i="3"/>
  <c r="H11" i="3" s="1"/>
  <c r="H17" i="3"/>
  <c r="I54" i="3"/>
  <c r="I52" i="3"/>
  <c r="I65" i="3"/>
  <c r="D32" i="3"/>
  <c r="H15" i="3" s="1"/>
  <c r="L78" i="4"/>
  <c r="L94" i="4"/>
  <c r="L101" i="4"/>
  <c r="C103" i="4"/>
  <c r="L273" i="4"/>
  <c r="L277" i="4"/>
  <c r="L281" i="4"/>
  <c r="L283" i="4"/>
  <c r="I50" i="3"/>
  <c r="I48" i="3"/>
  <c r="I63" i="3" s="1"/>
  <c r="B285" i="4"/>
  <c r="B266" i="4"/>
  <c r="I63" i="13"/>
  <c r="B39" i="13"/>
  <c r="L146" i="4"/>
  <c r="L140" i="4"/>
  <c r="L132" i="4"/>
  <c r="B50" i="13"/>
  <c r="B9" i="13"/>
  <c r="B56" i="15"/>
  <c r="L260" i="4"/>
  <c r="L144" i="4"/>
  <c r="L297" i="4"/>
  <c r="C299" i="4" s="1"/>
  <c r="L120" i="4" s="1"/>
  <c r="I102" i="37"/>
  <c r="L102" i="37" s="1"/>
  <c r="I99" i="37"/>
  <c r="L99" i="37" s="1"/>
  <c r="I93" i="37"/>
  <c r="L93" i="37" s="1"/>
  <c r="I90" i="37"/>
  <c r="L90" i="37" s="1"/>
  <c r="I75" i="37"/>
  <c r="L75" i="37" s="1"/>
  <c r="I57" i="37"/>
  <c r="L57" i="37" s="1"/>
  <c r="I54" i="37"/>
  <c r="L54" i="37" s="1"/>
  <c r="I8" i="37"/>
  <c r="L8" i="37" s="1"/>
  <c r="I11" i="35"/>
  <c r="I22" i="35" s="1"/>
  <c r="O11" i="35"/>
  <c r="O22" i="35" s="1"/>
  <c r="M22" i="35"/>
  <c r="J52" i="18"/>
  <c r="B32" i="11"/>
  <c r="F77" i="15"/>
  <c r="E11" i="15"/>
  <c r="B57" i="18"/>
  <c r="J9" i="11"/>
  <c r="J13" i="11"/>
  <c r="C25" i="11"/>
  <c r="B25" i="11" s="1"/>
  <c r="J11" i="11"/>
  <c r="K11" i="11"/>
  <c r="F7" i="15"/>
  <c r="J62" i="18"/>
  <c r="F29" i="11"/>
  <c r="J12" i="11"/>
  <c r="K12" i="11" s="1"/>
  <c r="C27" i="11" s="1"/>
  <c r="B27" i="11" s="1"/>
  <c r="J10" i="11"/>
  <c r="B44" i="11"/>
  <c r="B43" i="11"/>
  <c r="M14" i="11"/>
  <c r="D12" i="15"/>
  <c r="B30" i="15"/>
  <c r="E13" i="15"/>
  <c r="C14" i="15"/>
  <c r="J12" i="13"/>
  <c r="B50" i="15"/>
  <c r="K8" i="13"/>
  <c r="B24" i="18"/>
  <c r="T15" i="11"/>
  <c r="F10" i="11"/>
  <c r="F9" i="11" s="1"/>
  <c r="F8" i="11" s="1"/>
  <c r="S9" i="11"/>
  <c r="T9" i="11"/>
  <c r="U9" i="11" s="1"/>
  <c r="K27" i="68"/>
  <c r="M27" i="68" s="1"/>
  <c r="K18" i="36"/>
  <c r="L18" i="35"/>
  <c r="H56" i="68"/>
  <c r="C38" i="11"/>
  <c r="C35" i="11" s="1"/>
  <c r="C12" i="11"/>
  <c r="B12" i="11" s="1"/>
  <c r="B12" i="17"/>
  <c r="D18" i="13"/>
  <c r="F23" i="18"/>
  <c r="F22" i="18" s="1"/>
  <c r="H22" i="18" s="1"/>
  <c r="K26" i="68"/>
  <c r="M26" i="68" s="1"/>
  <c r="P26" i="68" s="1"/>
  <c r="N26" i="66"/>
  <c r="K17" i="36"/>
  <c r="L17" i="35"/>
  <c r="U13" i="11"/>
  <c r="C14" i="11"/>
  <c r="B14" i="11" s="1"/>
  <c r="C10" i="11"/>
  <c r="G8" i="19"/>
  <c r="I8" i="19" s="1"/>
  <c r="E9" i="49"/>
  <c r="F46" i="18"/>
  <c r="B46" i="18"/>
  <c r="L36" i="66"/>
  <c r="N36" i="66" s="1"/>
  <c r="E7" i="56"/>
  <c r="H55" i="57"/>
  <c r="B79" i="15"/>
  <c r="C7" i="15"/>
  <c r="M15" i="71"/>
  <c r="O21" i="71"/>
  <c r="C5" i="19"/>
  <c r="D67" i="15"/>
  <c r="B22" i="13"/>
  <c r="E20" i="13"/>
  <c r="E19" i="13" s="1"/>
  <c r="F19" i="13" s="1"/>
  <c r="D9" i="48"/>
  <c r="D8" i="48" s="1"/>
  <c r="C52" i="48"/>
  <c r="D52" i="48"/>
  <c r="F52" i="48" s="1"/>
  <c r="C50" i="48"/>
  <c r="D50" i="48" s="1"/>
  <c r="F50" i="48"/>
  <c r="C10" i="12"/>
  <c r="C9" i="12" s="1"/>
  <c r="C11" i="12" s="1"/>
  <c r="B14" i="45"/>
  <c r="F25" i="46"/>
  <c r="D8" i="49"/>
  <c r="F8" i="49" s="1"/>
  <c r="C9" i="52"/>
  <c r="C12" i="52"/>
  <c r="D21" i="50"/>
  <c r="D23" i="50"/>
  <c r="K9" i="57"/>
  <c r="C24" i="57" s="1"/>
  <c r="H50" i="57" s="1"/>
  <c r="I50" i="57" s="1"/>
  <c r="C9" i="61"/>
  <c r="L29" i="66"/>
  <c r="N29" i="66" s="1"/>
  <c r="L16" i="66"/>
  <c r="N16" i="66" s="1"/>
  <c r="K16" i="68"/>
  <c r="M16" i="68" s="1"/>
  <c r="K9" i="35"/>
  <c r="K11" i="35" s="1"/>
  <c r="K22" i="35" s="1"/>
  <c r="E9" i="71"/>
  <c r="E11" i="49"/>
  <c r="E12" i="49"/>
  <c r="E10" i="49"/>
  <c r="C10" i="57"/>
  <c r="Q19" i="66"/>
  <c r="R19" i="66" s="1"/>
  <c r="C8" i="18"/>
  <c r="F14" i="15"/>
  <c r="F9" i="15" s="1"/>
  <c r="O22" i="71"/>
  <c r="E21" i="35"/>
  <c r="O46" i="66"/>
  <c r="C11" i="16"/>
  <c r="Z6" i="53"/>
  <c r="S20" i="53"/>
  <c r="C13" i="53" s="1"/>
  <c r="H8" i="14"/>
  <c r="K8" i="14" s="1"/>
  <c r="G8" i="14" s="1"/>
  <c r="G7" i="47"/>
  <c r="F18" i="56"/>
  <c r="G8" i="56"/>
  <c r="B8" i="56" s="1"/>
  <c r="B42" i="57"/>
  <c r="B30" i="57"/>
  <c r="D24" i="57"/>
  <c r="D23" i="57" s="1"/>
  <c r="F21" i="57"/>
  <c r="B21" i="57" s="1"/>
  <c r="B20" i="57"/>
  <c r="T15" i="57"/>
  <c r="C14" i="57"/>
  <c r="U13" i="57"/>
  <c r="U12" i="57"/>
  <c r="F10" i="57"/>
  <c r="F9" i="57" s="1"/>
  <c r="F8" i="57" s="1"/>
  <c r="E56" i="66"/>
  <c r="Q43" i="66"/>
  <c r="Q41" i="66"/>
  <c r="Q39" i="66"/>
  <c r="R39" i="66" s="1"/>
  <c r="Q37" i="66"/>
  <c r="Q25" i="66"/>
  <c r="R25" i="66" s="1"/>
  <c r="Q23" i="66"/>
  <c r="R23" i="66"/>
  <c r="B10" i="52"/>
  <c r="B11" i="52"/>
  <c r="B11" i="16"/>
  <c r="I9" i="75"/>
  <c r="K9" i="75"/>
  <c r="J9" i="75"/>
  <c r="D9" i="75" s="1"/>
  <c r="H9" i="14"/>
  <c r="J9" i="14" s="1"/>
  <c r="D9" i="14" s="1"/>
  <c r="H7" i="47"/>
  <c r="E7" i="47" s="1"/>
  <c r="J13" i="57"/>
  <c r="K13" i="57" s="1"/>
  <c r="C25" i="57" s="1"/>
  <c r="B25" i="57" s="1"/>
  <c r="J12" i="57"/>
  <c r="K12" i="57" s="1"/>
  <c r="J11" i="57"/>
  <c r="K11" i="57" s="1"/>
  <c r="C28" i="57" s="1"/>
  <c r="J10" i="57"/>
  <c r="K10" i="57"/>
  <c r="C26" i="57" s="1"/>
  <c r="T20" i="53"/>
  <c r="B64" i="76"/>
  <c r="C29" i="76"/>
  <c r="B29" i="76" s="1"/>
  <c r="B30" i="76"/>
  <c r="G7" i="76"/>
  <c r="E8" i="76"/>
  <c r="E7" i="76" s="1"/>
  <c r="C46" i="77"/>
  <c r="B46" i="77" s="1"/>
  <c r="B47" i="77"/>
  <c r="C42" i="77"/>
  <c r="B42" i="77" s="1"/>
  <c r="B43" i="77"/>
  <c r="J13" i="77"/>
  <c r="B38" i="77"/>
  <c r="I64" i="77"/>
  <c r="B23" i="77"/>
  <c r="C10" i="70"/>
  <c r="B5" i="72"/>
  <c r="B6" i="72" s="1"/>
  <c r="X20" i="53"/>
  <c r="S18" i="73"/>
  <c r="X18" i="73" s="1"/>
  <c r="Z18" i="73" s="1"/>
  <c r="B17" i="76"/>
  <c r="C9" i="76"/>
  <c r="J97" i="76"/>
  <c r="K97" i="76" s="1"/>
  <c r="G80" i="76"/>
  <c r="B82" i="76"/>
  <c r="B77" i="76"/>
  <c r="I78" i="76"/>
  <c r="C63" i="76"/>
  <c r="B65" i="76"/>
  <c r="E13" i="76"/>
  <c r="G14" i="76"/>
  <c r="G9" i="76" s="1"/>
  <c r="B22" i="77"/>
  <c r="H22" i="77"/>
  <c r="X5" i="73"/>
  <c r="C9" i="75"/>
  <c r="B9" i="75" s="1"/>
  <c r="M11" i="75"/>
  <c r="M14" i="75"/>
  <c r="D64" i="76"/>
  <c r="B15" i="76"/>
  <c r="B8" i="76"/>
  <c r="L14" i="76"/>
  <c r="H84" i="11"/>
  <c r="C35" i="77"/>
  <c r="B35" i="77" s="1"/>
  <c r="J8" i="77"/>
  <c r="D24" i="77"/>
  <c r="D19" i="77" s="1"/>
  <c r="E21" i="77"/>
  <c r="E20" i="77" s="1"/>
  <c r="D41" i="77"/>
  <c r="D39" i="77"/>
  <c r="M11" i="57"/>
  <c r="B28" i="57"/>
  <c r="D7" i="47"/>
  <c r="B14" i="57"/>
  <c r="P16" i="68"/>
  <c r="Q36" i="66"/>
  <c r="H55" i="11"/>
  <c r="M7" i="76"/>
  <c r="B26" i="57"/>
  <c r="M9" i="57"/>
  <c r="E5" i="19"/>
  <c r="J5" i="19"/>
  <c r="B7" i="15"/>
  <c r="Q15" i="66"/>
  <c r="Q26" i="66"/>
  <c r="R26" i="66" s="1"/>
  <c r="B23" i="18"/>
  <c r="B35" i="11"/>
  <c r="B38" i="11"/>
  <c r="N18" i="35"/>
  <c r="Q27" i="66"/>
  <c r="R27" i="66" s="1"/>
  <c r="D9" i="12"/>
  <c r="D11" i="12"/>
  <c r="F8" i="14"/>
  <c r="E9" i="14"/>
  <c r="M34" i="15" l="1"/>
  <c r="M35" i="15"/>
  <c r="C54" i="15" s="1"/>
  <c r="M38" i="15"/>
  <c r="M33" i="15"/>
  <c r="M37" i="15"/>
  <c r="C52" i="15" s="1"/>
  <c r="B52" i="15" s="1"/>
  <c r="M32" i="15"/>
  <c r="M40" i="15"/>
  <c r="M42" i="15"/>
  <c r="C57" i="15" s="1"/>
  <c r="I100" i="15" s="1"/>
  <c r="M43" i="15"/>
  <c r="C55" i="15" s="1"/>
  <c r="B55" i="15" s="1"/>
  <c r="B12" i="70"/>
  <c r="H18" i="70"/>
  <c r="H56" i="11"/>
  <c r="B14" i="76"/>
  <c r="F9" i="75"/>
  <c r="G9" i="75"/>
  <c r="C37" i="18"/>
  <c r="J64" i="18" s="1"/>
  <c r="B36" i="18"/>
  <c r="B37" i="18" s="1"/>
  <c r="C9" i="14"/>
  <c r="B9" i="14" s="1"/>
  <c r="D108" i="37"/>
  <c r="D109" i="37" s="1"/>
  <c r="N94" i="37"/>
  <c r="I94" i="37"/>
  <c r="L94" i="37" s="1"/>
  <c r="I84" i="37"/>
  <c r="L84" i="37" s="1"/>
  <c r="N84" i="37"/>
  <c r="B87" i="15"/>
  <c r="E67" i="15"/>
  <c r="D11" i="15"/>
  <c r="E25" i="17"/>
  <c r="C42" i="18"/>
  <c r="B43" i="18"/>
  <c r="C10" i="48"/>
  <c r="C9" i="48" s="1"/>
  <c r="C8" i="48" s="1"/>
  <c r="B10" i="48"/>
  <c r="B9" i="48" s="1"/>
  <c r="B8" i="48" s="1"/>
  <c r="C28" i="45"/>
  <c r="C58" i="17"/>
  <c r="H9" i="56"/>
  <c r="D15" i="56"/>
  <c r="H8" i="56"/>
  <c r="D8" i="56" s="1"/>
  <c r="H13" i="56"/>
  <c r="H12" i="56"/>
  <c r="B14" i="56"/>
  <c r="C8" i="59"/>
  <c r="B7" i="59"/>
  <c r="X4" i="73"/>
  <c r="B59" i="76"/>
  <c r="C58" i="76"/>
  <c r="B58" i="76" s="1"/>
  <c r="M45" i="76"/>
  <c r="D12" i="76"/>
  <c r="G62" i="77"/>
  <c r="B41" i="77"/>
  <c r="F39" i="77"/>
  <c r="E41" i="77"/>
  <c r="E39" i="77" s="1"/>
  <c r="B25" i="77"/>
  <c r="H21" i="77"/>
  <c r="B24" i="57"/>
  <c r="I9" i="14"/>
  <c r="Q26" i="68"/>
  <c r="C8" i="56"/>
  <c r="E9" i="75"/>
  <c r="B78" i="76"/>
  <c r="B15" i="56"/>
  <c r="B8" i="18"/>
  <c r="M12" i="11"/>
  <c r="D13" i="49"/>
  <c r="D12" i="49" s="1"/>
  <c r="F12" i="49" s="1"/>
  <c r="M17" i="36"/>
  <c r="P17" i="36" s="1"/>
  <c r="C67" i="3"/>
  <c r="H13" i="3" s="1"/>
  <c r="L241" i="4"/>
  <c r="C243" i="4" s="1"/>
  <c r="L116" i="4" s="1"/>
  <c r="L230" i="4"/>
  <c r="C232" i="4" s="1"/>
  <c r="L114" i="4" s="1"/>
  <c r="M41" i="15"/>
  <c r="J66" i="18"/>
  <c r="B33" i="18"/>
  <c r="I100" i="37"/>
  <c r="L100" i="37" s="1"/>
  <c r="N100" i="37"/>
  <c r="N59" i="37"/>
  <c r="I59" i="37"/>
  <c r="L59" i="37" s="1"/>
  <c r="O110" i="37"/>
  <c r="L14" i="35" s="1"/>
  <c r="N14" i="35" s="1"/>
  <c r="K29" i="68"/>
  <c r="M29" i="68" s="1"/>
  <c r="K20" i="36"/>
  <c r="M20" i="36" s="1"/>
  <c r="P20" i="36" s="1"/>
  <c r="C31" i="11"/>
  <c r="B31" i="11" s="1"/>
  <c r="B33" i="11"/>
  <c r="B76" i="15"/>
  <c r="C74" i="15"/>
  <c r="B74" i="15" s="1"/>
  <c r="B29" i="15"/>
  <c r="X9" i="29"/>
  <c r="B27" i="13"/>
  <c r="B29" i="57"/>
  <c r="H22" i="36"/>
  <c r="P41" i="68"/>
  <c r="Q41" i="68" s="1"/>
  <c r="X7" i="69"/>
  <c r="X5" i="69"/>
  <c r="E65" i="76"/>
  <c r="J10" i="77"/>
  <c r="B40" i="77"/>
  <c r="C39" i="77"/>
  <c r="B39" i="77" s="1"/>
  <c r="C28" i="11"/>
  <c r="B28" i="11" s="1"/>
  <c r="M11" i="11"/>
  <c r="J65" i="18"/>
  <c r="B25" i="18"/>
  <c r="I68" i="37"/>
  <c r="L68" i="37" s="1"/>
  <c r="N68" i="37"/>
  <c r="I22" i="36"/>
  <c r="I28" i="35"/>
  <c r="D65" i="15"/>
  <c r="B65" i="15"/>
  <c r="E65" i="15"/>
  <c r="D13" i="15"/>
  <c r="B13" i="15"/>
  <c r="C20" i="15"/>
  <c r="B20" i="15" s="1"/>
  <c r="B21" i="15"/>
  <c r="E79" i="15"/>
  <c r="H80" i="15" s="1"/>
  <c r="D8" i="15"/>
  <c r="D7" i="15" s="1"/>
  <c r="E12" i="15"/>
  <c r="E14" i="15" s="1"/>
  <c r="E9" i="15" s="1"/>
  <c r="E64" i="15"/>
  <c r="H20" i="18"/>
  <c r="B20" i="18"/>
  <c r="F18" i="18"/>
  <c r="H18" i="18" s="1"/>
  <c r="G36" i="48"/>
  <c r="D41" i="48"/>
  <c r="B14" i="28"/>
  <c r="C17" i="28"/>
  <c r="C26" i="28" s="1"/>
  <c r="C21" i="46"/>
  <c r="C20" i="46" s="1"/>
  <c r="B21" i="46"/>
  <c r="B20" i="46" s="1"/>
  <c r="D20" i="46" s="1"/>
  <c r="C17" i="49"/>
  <c r="F19" i="19"/>
  <c r="H8" i="75"/>
  <c r="F9" i="47"/>
  <c r="G6" i="47"/>
  <c r="C11" i="70"/>
  <c r="B11" i="70"/>
  <c r="G18" i="70" s="1"/>
  <c r="C9" i="70"/>
  <c r="C12" i="70" s="1"/>
  <c r="D12" i="70"/>
  <c r="Q18" i="35"/>
  <c r="I8" i="14"/>
  <c r="S19" i="73"/>
  <c r="D8" i="76"/>
  <c r="D7" i="76" s="1"/>
  <c r="R19" i="73"/>
  <c r="E82" i="76"/>
  <c r="E80" i="76" s="1"/>
  <c r="B9" i="76"/>
  <c r="G9" i="56"/>
  <c r="B42" i="11"/>
  <c r="H6" i="47"/>
  <c r="L18" i="71"/>
  <c r="M18" i="36"/>
  <c r="P18" i="36" s="1"/>
  <c r="B11" i="15"/>
  <c r="B82" i="15"/>
  <c r="P12" i="36"/>
  <c r="M39" i="15"/>
  <c r="I58" i="37"/>
  <c r="L58" i="37" s="1"/>
  <c r="I74" i="37"/>
  <c r="L74" i="37" s="1"/>
  <c r="N74" i="37"/>
  <c r="J22" i="35"/>
  <c r="J29" i="71" s="1"/>
  <c r="M10" i="19"/>
  <c r="M3" i="19"/>
  <c r="O3" i="19" s="1"/>
  <c r="N10" i="19"/>
  <c r="B53" i="18"/>
  <c r="U10" i="11"/>
  <c r="U15" i="11" s="1"/>
  <c r="C13" i="11"/>
  <c r="B84" i="15"/>
  <c r="C83" i="15"/>
  <c r="B83" i="15" s="1"/>
  <c r="B59" i="15"/>
  <c r="C58" i="15"/>
  <c r="B58" i="15" s="1"/>
  <c r="C7" i="41"/>
  <c r="B38" i="17"/>
  <c r="C17" i="17"/>
  <c r="B17" i="17" s="1"/>
  <c r="C34" i="13"/>
  <c r="B34" i="13" s="1"/>
  <c r="B37" i="13"/>
  <c r="G7" i="56"/>
  <c r="D17" i="56"/>
  <c r="C43" i="57"/>
  <c r="B43" i="57" s="1"/>
  <c r="B44" i="57"/>
  <c r="I56" i="68"/>
  <c r="R20" i="69"/>
  <c r="G13" i="69"/>
  <c r="G39" i="69" s="1"/>
  <c r="X3" i="69"/>
  <c r="G16" i="70"/>
  <c r="Y28" i="53"/>
  <c r="D65" i="76"/>
  <c r="D63" i="76" s="1"/>
  <c r="E64" i="76"/>
  <c r="G63" i="76"/>
  <c r="B63" i="76" s="1"/>
  <c r="B60" i="76"/>
  <c r="J96" i="76"/>
  <c r="K96" i="76" s="1"/>
  <c r="H56" i="57"/>
  <c r="K10" i="11"/>
  <c r="K9" i="11"/>
  <c r="C24" i="11" s="1"/>
  <c r="L253" i="4"/>
  <c r="L156" i="4"/>
  <c r="L76" i="4" s="1"/>
  <c r="C84" i="4" s="1"/>
  <c r="C67" i="4" s="1"/>
  <c r="C57" i="3"/>
  <c r="H9" i="3" s="1"/>
  <c r="D21" i="1"/>
  <c r="C8" i="1" s="1"/>
  <c r="C8" i="14"/>
  <c r="B8" i="14" s="1"/>
  <c r="G22" i="35"/>
  <c r="I7" i="37"/>
  <c r="L7" i="37" s="1"/>
  <c r="L22" i="36"/>
  <c r="B81" i="15"/>
  <c r="B52" i="18"/>
  <c r="B41" i="15"/>
  <c r="D79" i="15"/>
  <c r="M36" i="15"/>
  <c r="C49" i="15" s="1"/>
  <c r="C47" i="15" s="1"/>
  <c r="B47" i="15" s="1"/>
  <c r="Z11" i="29"/>
  <c r="M20" i="71"/>
  <c r="C51" i="48"/>
  <c r="D51" i="48" s="1"/>
  <c r="F51" i="48" s="1"/>
  <c r="C48" i="48"/>
  <c r="D48" i="48" s="1"/>
  <c r="F48" i="48" s="1"/>
  <c r="D11" i="48"/>
  <c r="B19" i="46"/>
  <c r="B18" i="46" s="1"/>
  <c r="C19" i="46"/>
  <c r="C18" i="46" s="1"/>
  <c r="B36" i="57"/>
  <c r="C37" i="57"/>
  <c r="K46" i="66"/>
  <c r="N9" i="67"/>
  <c r="R14" i="68"/>
  <c r="S14" i="68" s="1"/>
  <c r="M19" i="68"/>
  <c r="P19" i="68" s="1"/>
  <c r="W18" i="69"/>
  <c r="W28" i="69" s="1"/>
  <c r="N11" i="75"/>
  <c r="B87" i="76"/>
  <c r="D82" i="76"/>
  <c r="D80" i="76" s="1"/>
  <c r="B26" i="77"/>
  <c r="S26" i="66"/>
  <c r="T26" i="66" s="1"/>
  <c r="C37" i="1"/>
  <c r="I18" i="1" s="1"/>
  <c r="L45" i="15"/>
  <c r="N11" i="14"/>
  <c r="D10" i="11"/>
  <c r="D9" i="11" s="1"/>
  <c r="D8" i="11" s="1"/>
  <c r="D18" i="18"/>
  <c r="D60" i="18" s="1"/>
  <c r="I9" i="47"/>
  <c r="B60" i="13"/>
  <c r="C58" i="13"/>
  <c r="B45" i="13"/>
  <c r="B25" i="13"/>
  <c r="H21" i="13"/>
  <c r="B11" i="46"/>
  <c r="F11" i="46"/>
  <c r="F14" i="46" s="1"/>
  <c r="H11" i="56"/>
  <c r="G11" i="56"/>
  <c r="M46" i="66"/>
  <c r="R9" i="67"/>
  <c r="B85" i="76"/>
  <c r="C74" i="76"/>
  <c r="B74" i="76" s="1"/>
  <c r="B76" i="76"/>
  <c r="E11" i="76"/>
  <c r="D11" i="76"/>
  <c r="X7" i="29"/>
  <c r="B19" i="19"/>
  <c r="Z8" i="53"/>
  <c r="K18" i="56"/>
  <c r="D14" i="56"/>
  <c r="H10" i="56"/>
  <c r="G12" i="56"/>
  <c r="B17" i="56"/>
  <c r="S8" i="67"/>
  <c r="X4" i="69"/>
  <c r="K22" i="71"/>
  <c r="B21" i="77"/>
  <c r="B15" i="77"/>
  <c r="G33" i="35"/>
  <c r="E40" i="35" s="1"/>
  <c r="E41" i="35" s="1"/>
  <c r="F9" i="35" s="1"/>
  <c r="C13" i="26"/>
  <c r="AB18" i="53"/>
  <c r="W20" i="53"/>
  <c r="W21" i="53" s="1"/>
  <c r="J20" i="15"/>
  <c r="J18" i="56"/>
  <c r="G13" i="56"/>
  <c r="G61" i="66"/>
  <c r="E68" i="66" s="1"/>
  <c r="E69" i="66" s="1"/>
  <c r="F9" i="66" s="1"/>
  <c r="F11" i="66" s="1"/>
  <c r="F46" i="66" s="1"/>
  <c r="G46" i="68"/>
  <c r="S18" i="69"/>
  <c r="Z14" i="69"/>
  <c r="X8" i="69"/>
  <c r="E12" i="76"/>
  <c r="B27" i="77"/>
  <c r="C39" i="53"/>
  <c r="R29" i="66"/>
  <c r="C6" i="47"/>
  <c r="B6" i="47"/>
  <c r="B9" i="47" s="1"/>
  <c r="K14" i="15"/>
  <c r="L7" i="15" s="1"/>
  <c r="M7" i="15" s="1"/>
  <c r="B32" i="18"/>
  <c r="C27" i="18"/>
  <c r="S20" i="73"/>
  <c r="R37" i="66"/>
  <c r="S37" i="66" s="1"/>
  <c r="T37" i="66" s="1"/>
  <c r="R41" i="66"/>
  <c r="S41" i="66" s="1"/>
  <c r="T41" i="66" s="1"/>
  <c r="C7" i="47"/>
  <c r="B7" i="47"/>
  <c r="P27" i="68"/>
  <c r="Q27" i="68" s="1"/>
  <c r="R27" i="68" s="1"/>
  <c r="S27" i="68" s="1"/>
  <c r="N13" i="37"/>
  <c r="O112" i="37" s="1"/>
  <c r="I13" i="37"/>
  <c r="L13" i="37" s="1"/>
  <c r="O108" i="37"/>
  <c r="B59" i="13"/>
  <c r="D59" i="13"/>
  <c r="D58" i="13" s="1"/>
  <c r="F58" i="13" s="1"/>
  <c r="E59" i="13"/>
  <c r="E58" i="13" s="1"/>
  <c r="B57" i="15"/>
  <c r="O17" i="19"/>
  <c r="S21" i="53"/>
  <c r="K9" i="14"/>
  <c r="F46" i="49"/>
  <c r="M13" i="57"/>
  <c r="T21" i="53"/>
  <c r="S25" i="66"/>
  <c r="T25" i="66" s="1"/>
  <c r="R43" i="66"/>
  <c r="S43" i="66" s="1"/>
  <c r="T43" i="66" s="1"/>
  <c r="E10" i="57"/>
  <c r="E9" i="57" s="1"/>
  <c r="E8" i="57" s="1"/>
  <c r="E47" i="57" s="1"/>
  <c r="D10" i="57"/>
  <c r="D9" i="57" s="1"/>
  <c r="D8" i="57" s="1"/>
  <c r="J63" i="18"/>
  <c r="Q16" i="66"/>
  <c r="R16" i="66" s="1"/>
  <c r="E77" i="15"/>
  <c r="N17" i="35"/>
  <c r="L17" i="71"/>
  <c r="N17" i="71" s="1"/>
  <c r="B19" i="18"/>
  <c r="H19" i="18" s="1"/>
  <c r="B42" i="18"/>
  <c r="L92" i="4" s="1"/>
  <c r="C96" i="4" s="1"/>
  <c r="L41" i="4" s="1"/>
  <c r="X5" i="29"/>
  <c r="R13" i="29"/>
  <c r="E15" i="71"/>
  <c r="H22" i="35"/>
  <c r="H28" i="35"/>
  <c r="E12" i="71"/>
  <c r="Q12" i="35"/>
  <c r="E28" i="35"/>
  <c r="E10" i="71"/>
  <c r="E11" i="35"/>
  <c r="E22" i="35" s="1"/>
  <c r="F11" i="35"/>
  <c r="F22" i="35" s="1"/>
  <c r="F9" i="71"/>
  <c r="H6" i="56"/>
  <c r="G6" i="56"/>
  <c r="E8" i="56"/>
  <c r="C31" i="57"/>
  <c r="B31" i="57" s="1"/>
  <c r="B34" i="57"/>
  <c r="H45" i="66"/>
  <c r="H46" i="66" s="1"/>
  <c r="R30" i="66"/>
  <c r="S30" i="66" s="1"/>
  <c r="T30" i="66" s="1"/>
  <c r="Q30" i="66"/>
  <c r="G94" i="76"/>
  <c r="I94" i="76" s="1"/>
  <c r="B7" i="76"/>
  <c r="M12" i="57"/>
  <c r="C27" i="57"/>
  <c r="B27" i="57" s="1"/>
  <c r="S39" i="66"/>
  <c r="T39" i="66" s="1"/>
  <c r="B78" i="15"/>
  <c r="H78" i="15"/>
  <c r="C77" i="15"/>
  <c r="B77" i="15" s="1"/>
  <c r="E22" i="11"/>
  <c r="E21" i="11" s="1"/>
  <c r="D22" i="11"/>
  <c r="D21" i="11" s="1"/>
  <c r="D30" i="11"/>
  <c r="D29" i="11" s="1"/>
  <c r="E24" i="11"/>
  <c r="E23" i="11" s="1"/>
  <c r="E30" i="11"/>
  <c r="E29" i="11" s="1"/>
  <c r="R36" i="66"/>
  <c r="S36" i="66" s="1"/>
  <c r="T36" i="66" s="1"/>
  <c r="H57" i="57"/>
  <c r="B13" i="57"/>
  <c r="C9" i="57"/>
  <c r="M10" i="57"/>
  <c r="F47" i="57"/>
  <c r="F20" i="77"/>
  <c r="E19" i="77"/>
  <c r="M8" i="76"/>
  <c r="M9" i="76"/>
  <c r="J14" i="57"/>
  <c r="S23" i="66"/>
  <c r="T23" i="66" s="1"/>
  <c r="B10" i="57"/>
  <c r="N118" i="4"/>
  <c r="L118" i="4"/>
  <c r="C209" i="4"/>
  <c r="L154" i="4" s="1"/>
  <c r="L313" i="4" s="1"/>
  <c r="B40" i="18"/>
  <c r="J69" i="18"/>
  <c r="B35" i="18"/>
  <c r="C34" i="18"/>
  <c r="B34" i="18" s="1"/>
  <c r="L17" i="66"/>
  <c r="N17" i="66" s="1"/>
  <c r="R15" i="66"/>
  <c r="I97" i="15"/>
  <c r="W13" i="29"/>
  <c r="W14" i="29" s="1"/>
  <c r="C9" i="15"/>
  <c r="B14" i="15"/>
  <c r="B17" i="28"/>
  <c r="C22" i="18"/>
  <c r="B22" i="18" s="1"/>
  <c r="M14" i="14"/>
  <c r="O56" i="66"/>
  <c r="N11" i="36"/>
  <c r="I82" i="37"/>
  <c r="L82" i="37" s="1"/>
  <c r="N82" i="37"/>
  <c r="N72" i="37"/>
  <c r="I72" i="37"/>
  <c r="L72" i="37" s="1"/>
  <c r="N55" i="37"/>
  <c r="I55" i="37"/>
  <c r="L55" i="37" s="1"/>
  <c r="F22" i="36"/>
  <c r="C29" i="11"/>
  <c r="B29" i="11" s="1"/>
  <c r="B30" i="11"/>
  <c r="F27" i="18"/>
  <c r="H27" i="18" s="1"/>
  <c r="D24" i="26"/>
  <c r="X11" i="29"/>
  <c r="N18" i="71"/>
  <c r="D15" i="48"/>
  <c r="D17" i="48" s="1"/>
  <c r="C16" i="48"/>
  <c r="C15" i="48" s="1"/>
  <c r="B16" i="48"/>
  <c r="B15" i="48" s="1"/>
  <c r="H10" i="75"/>
  <c r="D8" i="47"/>
  <c r="B8" i="47"/>
  <c r="H10" i="14"/>
  <c r="S19" i="66"/>
  <c r="T19" i="66" s="1"/>
  <c r="B84" i="76"/>
  <c r="C83" i="76"/>
  <c r="B83" i="76" s="1"/>
  <c r="J15" i="77"/>
  <c r="B29" i="77"/>
  <c r="B28" i="77" s="1"/>
  <c r="C28" i="77"/>
  <c r="Q18" i="36"/>
  <c r="R18" i="36" s="1"/>
  <c r="S18" i="36" s="1"/>
  <c r="Q29" i="66"/>
  <c r="Q16" i="68"/>
  <c r="R16" i="68" s="1"/>
  <c r="K15" i="68"/>
  <c r="M15" i="68" s="1"/>
  <c r="E10" i="11"/>
  <c r="E9" i="11" s="1"/>
  <c r="E8" i="11" s="1"/>
  <c r="E11" i="36"/>
  <c r="E22" i="36" s="1"/>
  <c r="M108" i="37"/>
  <c r="N87" i="37"/>
  <c r="I87" i="37"/>
  <c r="L87" i="37" s="1"/>
  <c r="O116" i="37"/>
  <c r="J67" i="18"/>
  <c r="E17" i="17"/>
  <c r="I101" i="15"/>
  <c r="Q36" i="68"/>
  <c r="R36" i="68" s="1"/>
  <c r="S36" i="68" s="1"/>
  <c r="S15" i="66"/>
  <c r="T15" i="66" s="1"/>
  <c r="J8" i="14"/>
  <c r="C53" i="48"/>
  <c r="S19" i="69"/>
  <c r="C10" i="14"/>
  <c r="Q44" i="66"/>
  <c r="R44" i="66" s="1"/>
  <c r="E11" i="71"/>
  <c r="J14" i="11"/>
  <c r="B10" i="11"/>
  <c r="R26" i="68"/>
  <c r="S26" i="68" s="1"/>
  <c r="S27" i="66"/>
  <c r="T27" i="66" s="1"/>
  <c r="M9" i="11"/>
  <c r="B36" i="11"/>
  <c r="O28" i="35"/>
  <c r="I81" i="37"/>
  <c r="L81" i="37" s="1"/>
  <c r="L11" i="14"/>
  <c r="I104" i="37"/>
  <c r="L104" i="37" s="1"/>
  <c r="N104" i="37"/>
  <c r="N101" i="37"/>
  <c r="I101" i="37"/>
  <c r="L101" i="37" s="1"/>
  <c r="N95" i="37"/>
  <c r="I95" i="37"/>
  <c r="L95" i="37" s="1"/>
  <c r="N80" i="37"/>
  <c r="I80" i="37"/>
  <c r="L80" i="37" s="1"/>
  <c r="B20" i="11"/>
  <c r="C16" i="11"/>
  <c r="B16" i="11" s="1"/>
  <c r="D24" i="11"/>
  <c r="D23" i="11" s="1"/>
  <c r="F80" i="15"/>
  <c r="B80" i="15" s="1"/>
  <c r="E82" i="15"/>
  <c r="E80" i="15" s="1"/>
  <c r="B73" i="17"/>
  <c r="F98" i="17"/>
  <c r="W12" i="29"/>
  <c r="J9" i="47"/>
  <c r="J12" i="47" s="1"/>
  <c r="J9" i="13"/>
  <c r="B44" i="13"/>
  <c r="C23" i="13"/>
  <c r="B24" i="13"/>
  <c r="D14" i="46"/>
  <c r="C15" i="46"/>
  <c r="C14" i="46" s="1"/>
  <c r="C40" i="49"/>
  <c r="D33" i="49"/>
  <c r="D32" i="49" s="1"/>
  <c r="D40" i="49" s="1"/>
  <c r="B32" i="49"/>
  <c r="B40" i="49" s="1"/>
  <c r="C11" i="14"/>
  <c r="N69" i="37"/>
  <c r="I69" i="37"/>
  <c r="L69" i="37" s="1"/>
  <c r="B56" i="18"/>
  <c r="G51" i="18"/>
  <c r="S13" i="29"/>
  <c r="C22" i="50"/>
  <c r="C12" i="50"/>
  <c r="B14" i="50"/>
  <c r="B10" i="50"/>
  <c r="B9" i="50" s="1"/>
  <c r="C18" i="50"/>
  <c r="C24" i="50"/>
  <c r="C23" i="50" s="1"/>
  <c r="B24" i="50"/>
  <c r="B23" i="50" s="1"/>
  <c r="B17" i="50"/>
  <c r="B18" i="50"/>
  <c r="Q24" i="66"/>
  <c r="R24" i="66" s="1"/>
  <c r="R34" i="66"/>
  <c r="S34" i="66" s="1"/>
  <c r="T34" i="66" s="1"/>
  <c r="H23" i="77"/>
  <c r="C20" i="77"/>
  <c r="F83" i="11"/>
  <c r="F84" i="11" s="1"/>
  <c r="F86" i="11" s="1"/>
  <c r="G86" i="11" s="1"/>
  <c r="E84" i="11"/>
  <c r="I63" i="37"/>
  <c r="L63" i="37" s="1"/>
  <c r="C285" i="4"/>
  <c r="L264" i="4" s="1"/>
  <c r="C266" i="4" s="1"/>
  <c r="L251" i="4" s="1"/>
  <c r="C255" i="4" s="1"/>
  <c r="M118" i="4" s="1"/>
  <c r="B29" i="18"/>
  <c r="L109" i="37"/>
  <c r="M109" i="37"/>
  <c r="I96" i="37"/>
  <c r="L96" i="37" s="1"/>
  <c r="N96" i="37"/>
  <c r="N71" i="37"/>
  <c r="I71" i="37"/>
  <c r="L71" i="37" s="1"/>
  <c r="C19" i="13"/>
  <c r="B20" i="13"/>
  <c r="Y20" i="53"/>
  <c r="Y21" i="53" s="1"/>
  <c r="Z3" i="53"/>
  <c r="U10" i="57"/>
  <c r="R15" i="57"/>
  <c r="S3" i="67"/>
  <c r="M10" i="67"/>
  <c r="M11" i="67" s="1"/>
  <c r="Q37" i="68"/>
  <c r="R37" i="68" s="1"/>
  <c r="S37" i="68" s="1"/>
  <c r="Q19" i="68"/>
  <c r="R19" i="68" s="1"/>
  <c r="S19" i="68" s="1"/>
  <c r="T19" i="68" s="1"/>
  <c r="T20" i="68" s="1"/>
  <c r="P12" i="68"/>
  <c r="E45" i="68"/>
  <c r="E56" i="68"/>
  <c r="E46" i="68"/>
  <c r="P44" i="68"/>
  <c r="Q44" i="68" s="1"/>
  <c r="C10" i="75"/>
  <c r="L11" i="75"/>
  <c r="B8" i="77"/>
  <c r="C197" i="4"/>
  <c r="L152" i="4" s="1"/>
  <c r="L309" i="4" s="1"/>
  <c r="C315" i="4" s="1"/>
  <c r="L323" i="4" s="1"/>
  <c r="C13" i="30"/>
  <c r="H13" i="30" s="1"/>
  <c r="H15" i="30" s="1"/>
  <c r="L6" i="37"/>
  <c r="N103" i="37"/>
  <c r="I103" i="37"/>
  <c r="L103" i="37" s="1"/>
  <c r="N89" i="37"/>
  <c r="I89" i="37"/>
  <c r="L89" i="37" s="1"/>
  <c r="N73" i="37"/>
  <c r="I73" i="37"/>
  <c r="L73" i="37" s="1"/>
  <c r="I64" i="37"/>
  <c r="L64" i="37" s="1"/>
  <c r="N64" i="37"/>
  <c r="N61" i="37"/>
  <c r="I61" i="37"/>
  <c r="L61" i="37" s="1"/>
  <c r="N53" i="37"/>
  <c r="I53" i="37"/>
  <c r="L53" i="37" s="1"/>
  <c r="O111" i="37"/>
  <c r="J29" i="36"/>
  <c r="N21" i="36"/>
  <c r="E38" i="17"/>
  <c r="B22" i="11"/>
  <c r="C21" i="11"/>
  <c r="R15" i="11"/>
  <c r="B64" i="15"/>
  <c r="F63" i="15"/>
  <c r="B63" i="15" s="1"/>
  <c r="D64" i="15"/>
  <c r="D63" i="15" s="1"/>
  <c r="E58" i="17"/>
  <c r="F42" i="18"/>
  <c r="B38" i="13"/>
  <c r="E24" i="13"/>
  <c r="E23" i="13" s="1"/>
  <c r="E18" i="13" s="1"/>
  <c r="E61" i="13" s="1"/>
  <c r="F23" i="13"/>
  <c r="F53" i="48"/>
  <c r="D49" i="48"/>
  <c r="F49" i="48" s="1"/>
  <c r="G41" i="48"/>
  <c r="B83" i="17"/>
  <c r="B7" i="43"/>
  <c r="B8" i="43" s="1"/>
  <c r="C8" i="43"/>
  <c r="Q33" i="66"/>
  <c r="R33" i="66" s="1"/>
  <c r="S33" i="66" s="1"/>
  <c r="T33" i="66" s="1"/>
  <c r="R39" i="68"/>
  <c r="S39" i="68" s="1"/>
  <c r="Q24" i="68"/>
  <c r="R24" i="68" s="1"/>
  <c r="S24" i="68" s="1"/>
  <c r="B7" i="65"/>
  <c r="C5" i="65"/>
  <c r="C7" i="65" s="1"/>
  <c r="E60" i="77"/>
  <c r="E59" i="77" s="1"/>
  <c r="D60" i="77"/>
  <c r="D59" i="77" s="1"/>
  <c r="B60" i="77"/>
  <c r="N88" i="37"/>
  <c r="I88" i="37"/>
  <c r="L88" i="37" s="1"/>
  <c r="N79" i="37"/>
  <c r="I79" i="37"/>
  <c r="L79" i="37" s="1"/>
  <c r="N65" i="37"/>
  <c r="I65" i="37"/>
  <c r="L65" i="37" s="1"/>
  <c r="I38" i="37"/>
  <c r="L38" i="37" s="1"/>
  <c r="N38" i="37"/>
  <c r="O109" i="37" s="1"/>
  <c r="O115" i="37"/>
  <c r="G9" i="18"/>
  <c r="G8" i="18" s="1"/>
  <c r="I95" i="15"/>
  <c r="J95" i="15" s="1"/>
  <c r="E27" i="18"/>
  <c r="E60" i="18" s="1"/>
  <c r="U13" i="29"/>
  <c r="U14" i="29" s="1"/>
  <c r="B21" i="13"/>
  <c r="G61" i="13"/>
  <c r="D87" i="17"/>
  <c r="B20" i="50"/>
  <c r="C20" i="50"/>
  <c r="C38" i="57"/>
  <c r="B37" i="57"/>
  <c r="Q12" i="66"/>
  <c r="E45" i="66"/>
  <c r="E46" i="66" s="1"/>
  <c r="O10" i="67"/>
  <c r="O11" i="67" s="1"/>
  <c r="S4" i="67"/>
  <c r="L20" i="35"/>
  <c r="I96" i="15"/>
  <c r="J96" i="15" s="1"/>
  <c r="B7" i="41"/>
  <c r="B44" i="18"/>
  <c r="D10" i="45"/>
  <c r="F9" i="45"/>
  <c r="F17" i="45" s="1"/>
  <c r="C7" i="17"/>
  <c r="C41" i="13"/>
  <c r="B41" i="13" s="1"/>
  <c r="J8" i="13"/>
  <c r="C14" i="48"/>
  <c r="C13" i="48" s="1"/>
  <c r="C17" i="48" s="1"/>
  <c r="B14" i="48"/>
  <c r="B13" i="48" s="1"/>
  <c r="B17" i="48" s="1"/>
  <c r="D16" i="50"/>
  <c r="D25" i="50" s="1"/>
  <c r="C14" i="50"/>
  <c r="B5" i="63"/>
  <c r="B9" i="63" s="1"/>
  <c r="C12" i="63" s="1"/>
  <c r="C11" i="64"/>
  <c r="R32" i="66"/>
  <c r="S32" i="66" s="1"/>
  <c r="T32" i="66" s="1"/>
  <c r="R42" i="66"/>
  <c r="Q42" i="66"/>
  <c r="R35" i="66"/>
  <c r="S35" i="66" s="1"/>
  <c r="T35" i="66" s="1"/>
  <c r="C13" i="50"/>
  <c r="B13" i="50"/>
  <c r="B15" i="50" s="1"/>
  <c r="B11" i="50" s="1"/>
  <c r="B22" i="50"/>
  <c r="J21" i="56"/>
  <c r="G10" i="56"/>
  <c r="D16" i="56"/>
  <c r="B16" i="56"/>
  <c r="R14" i="66"/>
  <c r="S14" i="66" s="1"/>
  <c r="S5" i="67"/>
  <c r="R38" i="66"/>
  <c r="S38" i="66" s="1"/>
  <c r="T38" i="66" s="1"/>
  <c r="S31" i="66"/>
  <c r="T31" i="66" s="1"/>
  <c r="Z7" i="53"/>
  <c r="U19" i="73"/>
  <c r="U20" i="73" s="1"/>
  <c r="B67" i="76"/>
  <c r="E67" i="76"/>
  <c r="B24" i="76"/>
  <c r="C20" i="76"/>
  <c r="B21" i="76"/>
  <c r="B11" i="76"/>
  <c r="C39" i="76"/>
  <c r="B39" i="76" s="1"/>
  <c r="B41" i="76"/>
  <c r="C10" i="50"/>
  <c r="C9" i="50" s="1"/>
  <c r="S21" i="66"/>
  <c r="T21" i="66" s="1"/>
  <c r="R40" i="66"/>
  <c r="S40" i="66" s="1"/>
  <c r="T40" i="66" s="1"/>
  <c r="R22" i="66"/>
  <c r="S22" i="66" s="1"/>
  <c r="T22" i="66" s="1"/>
  <c r="Q32" i="68"/>
  <c r="R32" i="68" s="1"/>
  <c r="S32" i="68" s="1"/>
  <c r="D13" i="76"/>
  <c r="D14" i="76" s="1"/>
  <c r="D9" i="76" s="1"/>
  <c r="B13" i="76"/>
  <c r="J6" i="77"/>
  <c r="I66" i="77"/>
  <c r="C50" i="77"/>
  <c r="B50" i="77" s="1"/>
  <c r="C24" i="77"/>
  <c r="D22" i="57"/>
  <c r="D21" i="57" s="1"/>
  <c r="T9" i="57"/>
  <c r="U9" i="57" s="1"/>
  <c r="B5" i="62"/>
  <c r="B6" i="62" s="1"/>
  <c r="R42" i="68"/>
  <c r="S42" i="68" s="1"/>
  <c r="R38" i="68"/>
  <c r="S38" i="68" s="1"/>
  <c r="Q21" i="68"/>
  <c r="R21" i="68"/>
  <c r="S21" i="68" s="1"/>
  <c r="Q40" i="68"/>
  <c r="R40" i="68" s="1"/>
  <c r="S40" i="68" s="1"/>
  <c r="Q35" i="68"/>
  <c r="R35" i="68" s="1"/>
  <c r="S35" i="68" s="1"/>
  <c r="Q31" i="68"/>
  <c r="R31" i="68" s="1"/>
  <c r="S31" i="68" s="1"/>
  <c r="X14" i="69"/>
  <c r="H22" i="71"/>
  <c r="I12" i="61"/>
  <c r="X14" i="73"/>
  <c r="X7" i="73"/>
  <c r="C8" i="75"/>
  <c r="B79" i="76"/>
  <c r="D79" i="76"/>
  <c r="E79" i="76"/>
  <c r="L4" i="76"/>
  <c r="N14" i="76" s="1"/>
  <c r="C59" i="77"/>
  <c r="Q33" i="68"/>
  <c r="R33" i="68" s="1"/>
  <c r="S33" i="68" s="1"/>
  <c r="Q25" i="68"/>
  <c r="R25" i="68" s="1"/>
  <c r="S25" i="68" s="1"/>
  <c r="Q23" i="68"/>
  <c r="R23" i="68"/>
  <c r="S23" i="68" s="1"/>
  <c r="Q22" i="68"/>
  <c r="R22" i="68" s="1"/>
  <c r="S22" i="68" s="1"/>
  <c r="Q43" i="68"/>
  <c r="R43" i="68" s="1"/>
  <c r="S43" i="68" s="1"/>
  <c r="Q39" i="68"/>
  <c r="Q34" i="68"/>
  <c r="R34" i="68" s="1"/>
  <c r="S34" i="68" s="1"/>
  <c r="Q30" i="68"/>
  <c r="R30" i="68"/>
  <c r="S30" i="68" s="1"/>
  <c r="U19" i="69"/>
  <c r="U20" i="69" s="1"/>
  <c r="Z19" i="53"/>
  <c r="J20" i="76"/>
  <c r="K20" i="76"/>
  <c r="F24" i="77"/>
  <c r="Q17" i="36" l="1"/>
  <c r="R17" i="36" s="1"/>
  <c r="S17" i="36" s="1"/>
  <c r="G20" i="19"/>
  <c r="D61" i="13"/>
  <c r="C13" i="56"/>
  <c r="B13" i="56"/>
  <c r="B27" i="56" s="1"/>
  <c r="D10" i="56"/>
  <c r="E10" i="56"/>
  <c r="E14" i="76"/>
  <c r="E9" i="76" s="1"/>
  <c r="R19" i="67"/>
  <c r="R10" i="67"/>
  <c r="R11" i="67" s="1"/>
  <c r="F17" i="46"/>
  <c r="F16" i="46"/>
  <c r="W19" i="69"/>
  <c r="W20" i="69" s="1"/>
  <c r="C7" i="56"/>
  <c r="B7" i="56"/>
  <c r="B25" i="56" s="1"/>
  <c r="B18" i="18"/>
  <c r="D6" i="47"/>
  <c r="D9" i="47" s="1"/>
  <c r="E6" i="47"/>
  <c r="E9" i="47" s="1"/>
  <c r="D12" i="56"/>
  <c r="D26" i="56" s="1"/>
  <c r="G19" i="19" s="1"/>
  <c r="E12" i="56"/>
  <c r="E9" i="56"/>
  <c r="D9" i="56"/>
  <c r="X19" i="73"/>
  <c r="X24" i="73" s="1"/>
  <c r="C16" i="50"/>
  <c r="B10" i="14"/>
  <c r="B11" i="14" s="1"/>
  <c r="B49" i="15"/>
  <c r="K14" i="36"/>
  <c r="E62" i="77"/>
  <c r="F18" i="13"/>
  <c r="F61" i="13" s="1"/>
  <c r="D47" i="11"/>
  <c r="F19" i="77"/>
  <c r="B14" i="19"/>
  <c r="X18" i="69"/>
  <c r="B10" i="46"/>
  <c r="C11" i="46"/>
  <c r="C10" i="46" s="1"/>
  <c r="C9" i="46" s="1"/>
  <c r="C22" i="46" s="1"/>
  <c r="N10" i="67"/>
  <c r="N11" i="67" s="1"/>
  <c r="S9" i="67"/>
  <c r="U9" i="67" s="1"/>
  <c r="D18" i="46"/>
  <c r="D77" i="15"/>
  <c r="H79" i="15"/>
  <c r="Q18" i="71"/>
  <c r="I8" i="75"/>
  <c r="J8" i="75"/>
  <c r="K8" i="75"/>
  <c r="E63" i="15"/>
  <c r="E93" i="15" s="1"/>
  <c r="C7" i="59"/>
  <c r="C11" i="59" s="1"/>
  <c r="B11" i="59"/>
  <c r="E13" i="56"/>
  <c r="D13" i="56"/>
  <c r="D27" i="56" s="1"/>
  <c r="B54" i="15"/>
  <c r="I102" i="15"/>
  <c r="E26" i="56"/>
  <c r="C23" i="57"/>
  <c r="B23" i="57" s="1"/>
  <c r="D47" i="57"/>
  <c r="B11" i="56"/>
  <c r="C11" i="56"/>
  <c r="B13" i="11"/>
  <c r="C9" i="56"/>
  <c r="C27" i="56" s="1"/>
  <c r="D20" i="19" s="1"/>
  <c r="B9" i="56"/>
  <c r="C9" i="11"/>
  <c r="B9" i="11" s="1"/>
  <c r="B8" i="11" s="1"/>
  <c r="F100" i="17"/>
  <c r="I100" i="17" s="1"/>
  <c r="B58" i="17"/>
  <c r="U15" i="57"/>
  <c r="E63" i="76"/>
  <c r="B23" i="13"/>
  <c r="Q20" i="36"/>
  <c r="R20" i="36" s="1"/>
  <c r="S20" i="36" s="1"/>
  <c r="K17" i="68"/>
  <c r="M17" i="68" s="1"/>
  <c r="Q17" i="68" s="1"/>
  <c r="S44" i="66"/>
  <c r="T44" i="66" s="1"/>
  <c r="G14" i="73"/>
  <c r="G40" i="73" s="1"/>
  <c r="B12" i="56"/>
  <c r="B26" i="56" s="1"/>
  <c r="C12" i="56"/>
  <c r="C26" i="56" s="1"/>
  <c r="D19" i="19" s="1"/>
  <c r="E11" i="56"/>
  <c r="E25" i="56" s="1"/>
  <c r="D11" i="56"/>
  <c r="D25" i="56" s="1"/>
  <c r="C19" i="3"/>
  <c r="C26" i="11"/>
  <c r="B26" i="11" s="1"/>
  <c r="M10" i="11"/>
  <c r="G13" i="73"/>
  <c r="G39" i="73" s="1"/>
  <c r="G44" i="73" s="1"/>
  <c r="R20" i="73"/>
  <c r="X20" i="73" s="1"/>
  <c r="R41" i="68"/>
  <c r="S41" i="68" s="1"/>
  <c r="P29" i="68"/>
  <c r="Q29" i="68" s="1"/>
  <c r="D14" i="15"/>
  <c r="D9" i="15" s="1"/>
  <c r="D93" i="15" s="1"/>
  <c r="R18" i="35"/>
  <c r="S18" i="35" s="1"/>
  <c r="T18" i="35" s="1"/>
  <c r="O23" i="19"/>
  <c r="C7" i="19"/>
  <c r="Z19" i="73"/>
  <c r="G7" i="19"/>
  <c r="I7" i="19" s="1"/>
  <c r="O22" i="19"/>
  <c r="L15" i="35"/>
  <c r="K15" i="36"/>
  <c r="M15" i="36" s="1"/>
  <c r="K18" i="68"/>
  <c r="M18" i="68" s="1"/>
  <c r="L18" i="66"/>
  <c r="N18" i="66" s="1"/>
  <c r="G42" i="18"/>
  <c r="B51" i="18"/>
  <c r="F14" i="19"/>
  <c r="I14" i="19" s="1"/>
  <c r="O19" i="19"/>
  <c r="L63" i="18"/>
  <c r="J70" i="18"/>
  <c r="J71" i="18" s="1"/>
  <c r="Z21" i="53"/>
  <c r="M17" i="19"/>
  <c r="N17" i="19" s="1"/>
  <c r="F93" i="15"/>
  <c r="N45" i="76"/>
  <c r="N7" i="76"/>
  <c r="N9" i="76"/>
  <c r="N8" i="76"/>
  <c r="I108" i="37"/>
  <c r="I109" i="37" s="1"/>
  <c r="R44" i="68"/>
  <c r="S44" i="68" s="1"/>
  <c r="C19" i="14"/>
  <c r="P15" i="68"/>
  <c r="Q15" i="68" s="1"/>
  <c r="R15" i="68" s="1"/>
  <c r="Q17" i="35"/>
  <c r="Q17" i="71" s="1"/>
  <c r="F9" i="14"/>
  <c r="G9" i="14"/>
  <c r="G11" i="14" s="1"/>
  <c r="C60" i="18"/>
  <c r="L12" i="35"/>
  <c r="K12" i="68"/>
  <c r="K12" i="36"/>
  <c r="L12" i="66"/>
  <c r="H34" i="18"/>
  <c r="B27" i="18"/>
  <c r="B60" i="18" s="1"/>
  <c r="C9" i="19"/>
  <c r="E77" i="76"/>
  <c r="I80" i="76"/>
  <c r="B21" i="50"/>
  <c r="E22" i="50"/>
  <c r="B10" i="45"/>
  <c r="D9" i="45"/>
  <c r="L20" i="71"/>
  <c r="N20" i="71" s="1"/>
  <c r="N20" i="35"/>
  <c r="F59" i="77"/>
  <c r="F21" i="11"/>
  <c r="F47" i="11" s="1"/>
  <c r="O117" i="37"/>
  <c r="L108" i="37"/>
  <c r="L8" i="15"/>
  <c r="M8" i="15" s="1"/>
  <c r="E23" i="50"/>
  <c r="C21" i="50"/>
  <c r="B9" i="18"/>
  <c r="I10" i="14"/>
  <c r="I11" i="14" s="1"/>
  <c r="D10" i="14"/>
  <c r="F10" i="14"/>
  <c r="H11" i="14"/>
  <c r="N22" i="36"/>
  <c r="C8" i="11"/>
  <c r="S24" i="66"/>
  <c r="T24" i="66" s="1"/>
  <c r="B6" i="56"/>
  <c r="C6" i="56"/>
  <c r="F11" i="71"/>
  <c r="F22" i="71" s="1"/>
  <c r="G10" i="29"/>
  <c r="R14" i="29"/>
  <c r="S16" i="66"/>
  <c r="C14" i="53"/>
  <c r="F60" i="18"/>
  <c r="N108" i="37"/>
  <c r="N109" i="37" s="1"/>
  <c r="J14" i="19"/>
  <c r="E14" i="19"/>
  <c r="C9" i="47"/>
  <c r="B59" i="77"/>
  <c r="T14" i="66"/>
  <c r="B7" i="17"/>
  <c r="B87" i="17" s="1"/>
  <c r="F96" i="17"/>
  <c r="C87" i="17"/>
  <c r="B38" i="57"/>
  <c r="C35" i="57"/>
  <c r="B35" i="57" s="1"/>
  <c r="K28" i="68"/>
  <c r="M28" i="68" s="1"/>
  <c r="K19" i="36"/>
  <c r="M19" i="36" s="1"/>
  <c r="L28" i="66"/>
  <c r="N28" i="66" s="1"/>
  <c r="L19" i="35"/>
  <c r="L13" i="35"/>
  <c r="L13" i="66"/>
  <c r="N13" i="66" s="1"/>
  <c r="K13" i="68"/>
  <c r="M13" i="68" s="1"/>
  <c r="K13" i="36"/>
  <c r="M13" i="36" s="1"/>
  <c r="P17" i="68"/>
  <c r="H19" i="19"/>
  <c r="E21" i="71"/>
  <c r="E22" i="71" s="1"/>
  <c r="L20" i="66"/>
  <c r="N20" i="66" s="1"/>
  <c r="K20" i="68"/>
  <c r="M20" i="68" s="1"/>
  <c r="L16" i="35"/>
  <c r="K16" i="36"/>
  <c r="M16" i="36" s="1"/>
  <c r="C11" i="75"/>
  <c r="B8" i="75"/>
  <c r="B11" i="75" s="1"/>
  <c r="C115" i="15"/>
  <c r="C116" i="76"/>
  <c r="B20" i="77"/>
  <c r="C19" i="77"/>
  <c r="C15" i="50"/>
  <c r="C11" i="50" s="1"/>
  <c r="B24" i="11"/>
  <c r="H50" i="11"/>
  <c r="I50" i="11" s="1"/>
  <c r="S16" i="68"/>
  <c r="K10" i="68"/>
  <c r="M10" i="68" s="1"/>
  <c r="K10" i="36"/>
  <c r="M10" i="36" s="1"/>
  <c r="L10" i="35"/>
  <c r="L10" i="66"/>
  <c r="N10" i="66" s="1"/>
  <c r="S29" i="66"/>
  <c r="T29" i="66" s="1"/>
  <c r="F10" i="75"/>
  <c r="I10" i="75"/>
  <c r="I11" i="75" s="1"/>
  <c r="H11" i="75"/>
  <c r="D10" i="75"/>
  <c r="B9" i="15"/>
  <c r="B93" i="15" s="1"/>
  <c r="C93" i="15"/>
  <c r="D77" i="76"/>
  <c r="D94" i="76" s="1"/>
  <c r="I95" i="76" s="1"/>
  <c r="I79" i="76"/>
  <c r="B24" i="77"/>
  <c r="B20" i="76"/>
  <c r="C10" i="56"/>
  <c r="B10" i="56"/>
  <c r="S42" i="66"/>
  <c r="T42" i="66" s="1"/>
  <c r="G60" i="18"/>
  <c r="B10" i="75"/>
  <c r="S11" i="67"/>
  <c r="Z20" i="53"/>
  <c r="C18" i="13"/>
  <c r="B19" i="13"/>
  <c r="B16" i="50"/>
  <c r="B25" i="50" s="1"/>
  <c r="S14" i="29"/>
  <c r="G11" i="29"/>
  <c r="G31" i="29" s="1"/>
  <c r="H56" i="66"/>
  <c r="W22" i="29"/>
  <c r="X12" i="29"/>
  <c r="S20" i="69"/>
  <c r="X20" i="69" s="1"/>
  <c r="E8" i="14"/>
  <c r="E11" i="14" s="1"/>
  <c r="D8" i="14"/>
  <c r="D11" i="14" s="1"/>
  <c r="E87" i="17"/>
  <c r="E47" i="11"/>
  <c r="C158" i="4"/>
  <c r="L129" i="4" s="1"/>
  <c r="C135" i="4" s="1"/>
  <c r="L110" i="4" s="1"/>
  <c r="C122" i="4" s="1"/>
  <c r="C57" i="4" s="1"/>
  <c r="L43" i="4" s="1"/>
  <c r="C45" i="4" s="1"/>
  <c r="L10" i="4" s="1"/>
  <c r="Q17" i="66"/>
  <c r="R17" i="66" s="1"/>
  <c r="S17" i="66" s="1"/>
  <c r="T17" i="66" s="1"/>
  <c r="Q14" i="35"/>
  <c r="C8" i="57"/>
  <c r="B9" i="57"/>
  <c r="B8" i="57" s="1"/>
  <c r="B47" i="57" s="1"/>
  <c r="E6" i="56"/>
  <c r="D6" i="56"/>
  <c r="D18" i="56" s="1"/>
  <c r="Q12" i="71"/>
  <c r="D62" i="77"/>
  <c r="B58" i="13"/>
  <c r="L9" i="15"/>
  <c r="M9" i="15" s="1"/>
  <c r="G11" i="19" l="1"/>
  <c r="I11" i="19" s="1"/>
  <c r="X25" i="73"/>
  <c r="Z20" i="73"/>
  <c r="C11" i="19"/>
  <c r="F26" i="56"/>
  <c r="C19" i="19"/>
  <c r="E19" i="19" s="1"/>
  <c r="G9" i="19"/>
  <c r="I19" i="19"/>
  <c r="J19" i="19" s="1"/>
  <c r="X14" i="29"/>
  <c r="D28" i="56"/>
  <c r="M14" i="36"/>
  <c r="L14" i="71"/>
  <c r="N14" i="71" s="1"/>
  <c r="E27" i="56"/>
  <c r="H20" i="19" s="1"/>
  <c r="I20" i="19" s="1"/>
  <c r="G18" i="73"/>
  <c r="E18" i="56"/>
  <c r="R14" i="35"/>
  <c r="C25" i="50"/>
  <c r="R18" i="71"/>
  <c r="S18" i="71" s="1"/>
  <c r="T18" i="71" s="1"/>
  <c r="B21" i="11"/>
  <c r="D9" i="16"/>
  <c r="D10" i="16"/>
  <c r="E15" i="19"/>
  <c r="J15" i="19" s="1"/>
  <c r="G8" i="75"/>
  <c r="G11" i="75" s="1"/>
  <c r="F8" i="75"/>
  <c r="B9" i="46"/>
  <c r="D10" i="46"/>
  <c r="C20" i="19"/>
  <c r="E20" i="19" s="1"/>
  <c r="R17" i="68"/>
  <c r="S17" i="68" s="1"/>
  <c r="F11" i="14"/>
  <c r="H57" i="11"/>
  <c r="E8" i="75"/>
  <c r="E11" i="75" s="1"/>
  <c r="D8" i="75"/>
  <c r="D11" i="75" s="1"/>
  <c r="Z18" i="69"/>
  <c r="X19" i="69"/>
  <c r="G14" i="69"/>
  <c r="F11" i="75"/>
  <c r="C23" i="11"/>
  <c r="B23" i="11" s="1"/>
  <c r="C18" i="56"/>
  <c r="F62" i="77"/>
  <c r="E94" i="76"/>
  <c r="B28" i="56"/>
  <c r="R29" i="68"/>
  <c r="S29" i="68" s="1"/>
  <c r="H9" i="19"/>
  <c r="C25" i="56"/>
  <c r="S10" i="67"/>
  <c r="S15" i="68"/>
  <c r="R48" i="68"/>
  <c r="AB19" i="53"/>
  <c r="Z24" i="53"/>
  <c r="B19" i="77"/>
  <c r="B62" i="77" s="1"/>
  <c r="C62" i="77"/>
  <c r="P28" i="68"/>
  <c r="Q28" i="68"/>
  <c r="C47" i="11"/>
  <c r="C56" i="11" s="1"/>
  <c r="N12" i="66"/>
  <c r="L45" i="66"/>
  <c r="O20" i="19"/>
  <c r="H93" i="15"/>
  <c r="H94" i="15" s="1"/>
  <c r="M19" i="19"/>
  <c r="N19" i="19" s="1"/>
  <c r="P34" i="19"/>
  <c r="R18" i="66"/>
  <c r="S18" i="66" s="1"/>
  <c r="T18" i="66" s="1"/>
  <c r="Q18" i="66"/>
  <c r="G10" i="19"/>
  <c r="I10" i="19" s="1"/>
  <c r="E7" i="19"/>
  <c r="J7" i="19"/>
  <c r="Z20" i="69"/>
  <c r="X25" i="69"/>
  <c r="Q10" i="68"/>
  <c r="R10" i="68" s="1"/>
  <c r="S10" i="68" s="1"/>
  <c r="P10" i="68"/>
  <c r="Q20" i="66"/>
  <c r="N19" i="35"/>
  <c r="L19" i="71"/>
  <c r="N19" i="71" s="1"/>
  <c r="D9" i="19"/>
  <c r="Q20" i="35"/>
  <c r="Q20" i="71" s="1"/>
  <c r="M12" i="36"/>
  <c r="K21" i="36"/>
  <c r="P18" i="68"/>
  <c r="N22" i="19"/>
  <c r="M22" i="19"/>
  <c r="C47" i="57"/>
  <c r="C56" i="57" s="1"/>
  <c r="G40" i="69"/>
  <c r="G44" i="69" s="1"/>
  <c r="G18" i="69"/>
  <c r="R10" i="66"/>
  <c r="S10" i="66" s="1"/>
  <c r="T10" i="66" s="1"/>
  <c r="Q10" i="66"/>
  <c r="T63" i="68"/>
  <c r="S49" i="68"/>
  <c r="L328" i="4"/>
  <c r="P16" i="36"/>
  <c r="Q16" i="36"/>
  <c r="R16" i="36" s="1"/>
  <c r="S16" i="36" s="1"/>
  <c r="P13" i="68"/>
  <c r="Q28" i="66"/>
  <c r="S48" i="66"/>
  <c r="H60" i="18"/>
  <c r="H61" i="18" s="1"/>
  <c r="G69" i="18"/>
  <c r="G30" i="29"/>
  <c r="G32" i="29" s="1"/>
  <c r="G12" i="29"/>
  <c r="B18" i="56"/>
  <c r="O16" i="19"/>
  <c r="E9" i="19"/>
  <c r="K45" i="68"/>
  <c r="M12" i="68"/>
  <c r="R17" i="35"/>
  <c r="P15" i="36"/>
  <c r="Q15" i="36" s="1"/>
  <c r="M23" i="19"/>
  <c r="N23" i="19" s="1"/>
  <c r="Q10" i="36"/>
  <c r="P10" i="36"/>
  <c r="P20" i="68"/>
  <c r="N13" i="35"/>
  <c r="L13" i="71"/>
  <c r="N13" i="71" s="1"/>
  <c r="S49" i="66"/>
  <c r="T16" i="66"/>
  <c r="K9" i="68"/>
  <c r="L9" i="35"/>
  <c r="L9" i="66"/>
  <c r="K9" i="36"/>
  <c r="U11" i="67"/>
  <c r="S16" i="67"/>
  <c r="Q13" i="36"/>
  <c r="P13" i="36"/>
  <c r="R13" i="36" s="1"/>
  <c r="S13" i="36" s="1"/>
  <c r="L29" i="71"/>
  <c r="K29" i="36"/>
  <c r="K56" i="68"/>
  <c r="L56" i="66"/>
  <c r="L28" i="35"/>
  <c r="O118" i="37"/>
  <c r="Z14" i="29"/>
  <c r="X19" i="29"/>
  <c r="O18" i="19"/>
  <c r="X13" i="29"/>
  <c r="Z12" i="29"/>
  <c r="B18" i="13"/>
  <c r="B61" i="13" s="1"/>
  <c r="C61" i="13"/>
  <c r="I104" i="15"/>
  <c r="C100" i="15"/>
  <c r="L10" i="71"/>
  <c r="N10" i="71" s="1"/>
  <c r="N10" i="35"/>
  <c r="R49" i="68"/>
  <c r="N16" i="35"/>
  <c r="L16" i="71"/>
  <c r="N16" i="71" s="1"/>
  <c r="Q13" i="66"/>
  <c r="R13" i="66"/>
  <c r="S13" i="66" s="1"/>
  <c r="T13" i="66" s="1"/>
  <c r="P19" i="36"/>
  <c r="C98" i="17"/>
  <c r="F102" i="17"/>
  <c r="U45" i="66"/>
  <c r="T48" i="66"/>
  <c r="U62" i="66"/>
  <c r="C40" i="53"/>
  <c r="C18" i="53"/>
  <c r="B9" i="45"/>
  <c r="D17" i="45"/>
  <c r="L21" i="35"/>
  <c r="L12" i="71"/>
  <c r="N12" i="35"/>
  <c r="N33" i="76"/>
  <c r="N43" i="76"/>
  <c r="C55" i="76" s="1"/>
  <c r="B55" i="76" s="1"/>
  <c r="N41" i="76"/>
  <c r="N39" i="76"/>
  <c r="N35" i="76"/>
  <c r="C54" i="76" s="1"/>
  <c r="N36" i="76"/>
  <c r="C49" i="76" s="1"/>
  <c r="N42" i="76"/>
  <c r="C57" i="76" s="1"/>
  <c r="N34" i="76"/>
  <c r="N40" i="76"/>
  <c r="N38" i="76"/>
  <c r="N32" i="76"/>
  <c r="N37" i="76"/>
  <c r="C52" i="76" s="1"/>
  <c r="Z25" i="53"/>
  <c r="AB20" i="53"/>
  <c r="L15" i="71"/>
  <c r="N15" i="71" s="1"/>
  <c r="N15" i="35"/>
  <c r="E11" i="19"/>
  <c r="J11" i="19"/>
  <c r="R19" i="36" l="1"/>
  <c r="S19" i="36" s="1"/>
  <c r="S15" i="67"/>
  <c r="U10" i="67"/>
  <c r="X24" i="69"/>
  <c r="Z19" i="69"/>
  <c r="J20" i="19"/>
  <c r="F28" i="56"/>
  <c r="C69" i="13"/>
  <c r="J9" i="19"/>
  <c r="R28" i="68"/>
  <c r="S28" i="68" s="1"/>
  <c r="C28" i="56"/>
  <c r="D18" i="19"/>
  <c r="B47" i="11"/>
  <c r="B22" i="46"/>
  <c r="D9" i="46"/>
  <c r="D22" i="46" s="1"/>
  <c r="B10" i="16"/>
  <c r="G18" i="16" s="1"/>
  <c r="C10" i="16"/>
  <c r="P14" i="36"/>
  <c r="Q14" i="71" s="1"/>
  <c r="I9" i="19"/>
  <c r="Q19" i="36"/>
  <c r="R10" i="36"/>
  <c r="S10" i="36" s="1"/>
  <c r="R20" i="35"/>
  <c r="R20" i="71" s="1"/>
  <c r="S20" i="71" s="1"/>
  <c r="T20" i="71" s="1"/>
  <c r="F25" i="56"/>
  <c r="B9" i="16"/>
  <c r="C9" i="16"/>
  <c r="G16" i="16"/>
  <c r="D12" i="16"/>
  <c r="F27" i="56"/>
  <c r="S14" i="35"/>
  <c r="T14" i="35" s="1"/>
  <c r="E28" i="56"/>
  <c r="C8" i="19"/>
  <c r="E12" i="69"/>
  <c r="E12" i="73"/>
  <c r="R16" i="35"/>
  <c r="R16" i="71" s="1"/>
  <c r="S16" i="71" s="1"/>
  <c r="T16" i="71" s="1"/>
  <c r="S16" i="35"/>
  <c r="T16" i="35" s="1"/>
  <c r="Q16" i="35"/>
  <c r="Q16" i="71" s="1"/>
  <c r="L11" i="66"/>
  <c r="L46" i="66" s="1"/>
  <c r="N9" i="66"/>
  <c r="S12" i="66"/>
  <c r="R12" i="66"/>
  <c r="N45" i="66"/>
  <c r="J103" i="76"/>
  <c r="B54" i="76"/>
  <c r="N21" i="35"/>
  <c r="R12" i="35"/>
  <c r="L11" i="35"/>
  <c r="L22" i="35" s="1"/>
  <c r="L9" i="71"/>
  <c r="N9" i="35"/>
  <c r="R15" i="36"/>
  <c r="S15" i="36" s="1"/>
  <c r="M16" i="19"/>
  <c r="N16" i="19" s="1"/>
  <c r="P45" i="68"/>
  <c r="Q12" i="36"/>
  <c r="R12" i="36" s="1"/>
  <c r="M21" i="36"/>
  <c r="Q19" i="35"/>
  <c r="Q19" i="71" s="1"/>
  <c r="R20" i="66"/>
  <c r="S20" i="66" s="1"/>
  <c r="T20" i="66" s="1"/>
  <c r="C70" i="77"/>
  <c r="Q15" i="35"/>
  <c r="Q15" i="71" s="1"/>
  <c r="J102" i="76"/>
  <c r="B52" i="76"/>
  <c r="L21" i="71"/>
  <c r="N12" i="71"/>
  <c r="Q45" i="66"/>
  <c r="Q10" i="35"/>
  <c r="Q10" i="71" s="1"/>
  <c r="X18" i="29"/>
  <c r="Z13" i="29"/>
  <c r="K11" i="68"/>
  <c r="K46" i="68" s="1"/>
  <c r="M9" i="68"/>
  <c r="Q13" i="35"/>
  <c r="R13" i="35" s="1"/>
  <c r="R13" i="71" s="1"/>
  <c r="R17" i="71"/>
  <c r="S17" i="71" s="1"/>
  <c r="T17" i="71" s="1"/>
  <c r="S17" i="35"/>
  <c r="T17" i="35" s="1"/>
  <c r="R28" i="66"/>
  <c r="S28" i="66" s="1"/>
  <c r="T28" i="66" s="1"/>
  <c r="Q13" i="68"/>
  <c r="Q18" i="68"/>
  <c r="R18" i="68" s="1"/>
  <c r="S18" i="68" s="1"/>
  <c r="S20" i="35"/>
  <c r="T20" i="35" s="1"/>
  <c r="M20" i="19"/>
  <c r="N20" i="19" s="1"/>
  <c r="C47" i="76"/>
  <c r="B49" i="76"/>
  <c r="J98" i="76"/>
  <c r="K98" i="76" s="1"/>
  <c r="C44" i="53"/>
  <c r="M18" i="19"/>
  <c r="N18" i="19" s="1"/>
  <c r="C16" i="73"/>
  <c r="C16" i="69"/>
  <c r="C71" i="77"/>
  <c r="C67" i="77"/>
  <c r="C69" i="77"/>
  <c r="J16" i="77"/>
  <c r="C73" i="77"/>
  <c r="J16" i="45"/>
  <c r="B17" i="45"/>
  <c r="Q20" i="68"/>
  <c r="R20" i="68" s="1"/>
  <c r="S20" i="68" s="1"/>
  <c r="J101" i="76"/>
  <c r="K101" i="76" s="1"/>
  <c r="B57" i="76"/>
  <c r="C72" i="13"/>
  <c r="C68" i="13"/>
  <c r="J15" i="13"/>
  <c r="C70" i="13"/>
  <c r="P21" i="36"/>
  <c r="K11" i="36"/>
  <c r="K22" i="36" s="1"/>
  <c r="M9" i="36"/>
  <c r="T49" i="66"/>
  <c r="U63" i="66"/>
  <c r="M45" i="68"/>
  <c r="Q12" i="68"/>
  <c r="R13" i="68"/>
  <c r="S13" i="68" s="1"/>
  <c r="S48" i="68"/>
  <c r="T45" i="68"/>
  <c r="T62" i="68"/>
  <c r="B12" i="16" l="1"/>
  <c r="C10" i="19"/>
  <c r="R15" i="35"/>
  <c r="R15" i="71" s="1"/>
  <c r="S15" i="71" s="1"/>
  <c r="T15" i="71" s="1"/>
  <c r="L321" i="4"/>
  <c r="C325" i="4" s="1"/>
  <c r="L14" i="4" s="1"/>
  <c r="C16" i="4" s="1"/>
  <c r="O21" i="19"/>
  <c r="H18" i="16"/>
  <c r="C12" i="16"/>
  <c r="H18" i="19"/>
  <c r="Q14" i="36"/>
  <c r="F16" i="73"/>
  <c r="C42" i="73"/>
  <c r="B47" i="76"/>
  <c r="B94" i="76" s="1"/>
  <c r="C94" i="76"/>
  <c r="J105" i="76" s="1"/>
  <c r="M11" i="68"/>
  <c r="M46" i="68" s="1"/>
  <c r="P9" i="68"/>
  <c r="P11" i="68" s="1"/>
  <c r="P46" i="68" s="1"/>
  <c r="N21" i="71"/>
  <c r="S12" i="36"/>
  <c r="R12" i="71"/>
  <c r="E8" i="19"/>
  <c r="J8" i="19"/>
  <c r="Q45" i="68"/>
  <c r="R10" i="35"/>
  <c r="R10" i="71" s="1"/>
  <c r="S10" i="71" s="1"/>
  <c r="T10" i="71" s="1"/>
  <c r="S15" i="35"/>
  <c r="T15" i="35" s="1"/>
  <c r="N11" i="35"/>
  <c r="N22" i="35" s="1"/>
  <c r="Q9" i="35"/>
  <c r="S12" i="35"/>
  <c r="N11" i="66"/>
  <c r="N46" i="66" s="1"/>
  <c r="Q9" i="66"/>
  <c r="Q11" i="66" s="1"/>
  <c r="Q46" i="66" s="1"/>
  <c r="R12" i="68"/>
  <c r="P9" i="36"/>
  <c r="P11" i="36" s="1"/>
  <c r="P22" i="36" s="1"/>
  <c r="M11" i="36"/>
  <c r="M22" i="36" s="1"/>
  <c r="B59" i="11"/>
  <c r="Q13" i="71"/>
  <c r="Q21" i="35"/>
  <c r="S10" i="35"/>
  <c r="T10" i="35" s="1"/>
  <c r="R19" i="35"/>
  <c r="L11" i="71"/>
  <c r="L22" i="71" s="1"/>
  <c r="N9" i="71"/>
  <c r="R45" i="66"/>
  <c r="E38" i="73"/>
  <c r="F12" i="73"/>
  <c r="C17" i="73"/>
  <c r="C17" i="69"/>
  <c r="E11" i="73"/>
  <c r="E11" i="69"/>
  <c r="C42" i="69"/>
  <c r="F42" i="69" s="1"/>
  <c r="F16" i="69"/>
  <c r="S13" i="35"/>
  <c r="T13" i="35" s="1"/>
  <c r="T12" i="66"/>
  <c r="T45" i="66" s="1"/>
  <c r="S45" i="66"/>
  <c r="E38" i="69"/>
  <c r="F38" i="69" s="1"/>
  <c r="F12" i="69"/>
  <c r="R14" i="36" l="1"/>
  <c r="R14" i="71"/>
  <c r="S14" i="71" s="1"/>
  <c r="T14" i="71" s="1"/>
  <c r="J10" i="19"/>
  <c r="E10" i="19"/>
  <c r="Q9" i="68"/>
  <c r="Q11" i="68" s="1"/>
  <c r="Q46" i="68" s="1"/>
  <c r="H13" i="19"/>
  <c r="M21" i="19"/>
  <c r="D13" i="19"/>
  <c r="Q21" i="36"/>
  <c r="I9" i="69"/>
  <c r="I9" i="73"/>
  <c r="E37" i="73"/>
  <c r="F11" i="73"/>
  <c r="G38" i="53"/>
  <c r="H38" i="53" s="1"/>
  <c r="F38" i="73"/>
  <c r="R19" i="71"/>
  <c r="S19" i="71" s="1"/>
  <c r="T19" i="71" s="1"/>
  <c r="S19" i="35"/>
  <c r="T19" i="35" s="1"/>
  <c r="Q11" i="35"/>
  <c r="Q22" i="35" s="1"/>
  <c r="Q9" i="71"/>
  <c r="Q11" i="71" s="1"/>
  <c r="C43" i="69"/>
  <c r="F43" i="69" s="1"/>
  <c r="F17" i="69"/>
  <c r="R45" i="68"/>
  <c r="S12" i="68"/>
  <c r="S45" i="68" s="1"/>
  <c r="R21" i="35"/>
  <c r="E42" i="53"/>
  <c r="H42" i="53" s="1"/>
  <c r="F42" i="73"/>
  <c r="F17" i="73"/>
  <c r="C43" i="73"/>
  <c r="N11" i="71"/>
  <c r="N22" i="71" s="1"/>
  <c r="S12" i="71"/>
  <c r="B60" i="11"/>
  <c r="B62" i="11"/>
  <c r="E37" i="69"/>
  <c r="F37" i="69" s="1"/>
  <c r="F11" i="69"/>
  <c r="Q21" i="71"/>
  <c r="S13" i="71"/>
  <c r="T13" i="71" s="1"/>
  <c r="Q9" i="36"/>
  <c r="Q11" i="36" s="1"/>
  <c r="R9" i="66"/>
  <c r="R11" i="66" s="1"/>
  <c r="R46" i="66" s="1"/>
  <c r="T12" i="35"/>
  <c r="T21" i="35" s="1"/>
  <c r="R9" i="35"/>
  <c r="S9" i="35" s="1"/>
  <c r="S14" i="36" l="1"/>
  <c r="S21" i="36" s="1"/>
  <c r="B8" i="67" s="1"/>
  <c r="R21" i="36"/>
  <c r="R9" i="68"/>
  <c r="S9" i="68" s="1"/>
  <c r="S11" i="68" s="1"/>
  <c r="S46" i="68" s="1"/>
  <c r="E13" i="19"/>
  <c r="D16" i="19"/>
  <c r="D21" i="19" s="1"/>
  <c r="J13" i="19"/>
  <c r="I13" i="19"/>
  <c r="H16" i="19"/>
  <c r="H21" i="19" s="1"/>
  <c r="S9" i="66"/>
  <c r="T9" i="66" s="1"/>
  <c r="T11" i="66" s="1"/>
  <c r="T46" i="66" s="1"/>
  <c r="Q22" i="36"/>
  <c r="R21" i="71"/>
  <c r="N21" i="19"/>
  <c r="S11" i="35"/>
  <c r="T9" i="35"/>
  <c r="T11" i="35" s="1"/>
  <c r="R11" i="68"/>
  <c r="R46" i="68" s="1"/>
  <c r="S11" i="66"/>
  <c r="S46" i="66" s="1"/>
  <c r="S21" i="35"/>
  <c r="I14" i="69"/>
  <c r="I14" i="73"/>
  <c r="F37" i="73"/>
  <c r="G37" i="53"/>
  <c r="H37" i="53" s="1"/>
  <c r="T12" i="71"/>
  <c r="T21" i="71" s="1"/>
  <c r="S21" i="71"/>
  <c r="Q22" i="71"/>
  <c r="E9" i="69"/>
  <c r="N8" i="19"/>
  <c r="E9" i="73"/>
  <c r="G9" i="53"/>
  <c r="E9" i="29"/>
  <c r="R9" i="71"/>
  <c r="R11" i="35"/>
  <c r="R22" i="35" s="1"/>
  <c r="F43" i="73"/>
  <c r="E43" i="53"/>
  <c r="H43" i="53" s="1"/>
  <c r="R9" i="36"/>
  <c r="O8" i="19" l="1"/>
  <c r="Q8" i="19" s="1"/>
  <c r="C11" i="29"/>
  <c r="C14" i="69"/>
  <c r="M8" i="19"/>
  <c r="C14" i="73"/>
  <c r="E14" i="53"/>
  <c r="E10" i="69"/>
  <c r="F10" i="69" s="1"/>
  <c r="F9" i="69"/>
  <c r="E18" i="69"/>
  <c r="H9" i="69"/>
  <c r="G18" i="53"/>
  <c r="B9" i="53"/>
  <c r="G10" i="53"/>
  <c r="H10" i="53" s="1"/>
  <c r="H9" i="53"/>
  <c r="E10" i="73"/>
  <c r="F10" i="73" s="1"/>
  <c r="F9" i="73"/>
  <c r="E18" i="73"/>
  <c r="H9" i="73"/>
  <c r="T22" i="35"/>
  <c r="N7" i="19"/>
  <c r="D8" i="29"/>
  <c r="D8" i="69"/>
  <c r="F8" i="53"/>
  <c r="D8" i="73"/>
  <c r="E12" i="29"/>
  <c r="H9" i="29"/>
  <c r="F9" i="29"/>
  <c r="G4" i="19"/>
  <c r="S9" i="36"/>
  <c r="R11" i="36"/>
  <c r="R22" i="36" s="1"/>
  <c r="R11" i="71"/>
  <c r="R22" i="71" s="1"/>
  <c r="S9" i="71"/>
  <c r="B26" i="67"/>
  <c r="N34" i="19"/>
  <c r="N13" i="19" s="1"/>
  <c r="S22" i="35"/>
  <c r="F14" i="73" l="1"/>
  <c r="H14" i="73"/>
  <c r="C15" i="73"/>
  <c r="F15" i="73" s="1"/>
  <c r="C18" i="73"/>
  <c r="H11" i="29"/>
  <c r="C12" i="29"/>
  <c r="C4" i="19"/>
  <c r="F11" i="29"/>
  <c r="M34" i="19"/>
  <c r="M13" i="19" s="1"/>
  <c r="H14" i="53"/>
  <c r="J22" i="53" s="1"/>
  <c r="E18" i="53"/>
  <c r="E15" i="53"/>
  <c r="H15" i="53" s="1"/>
  <c r="B14" i="53"/>
  <c r="C15" i="69"/>
  <c r="F15" i="69" s="1"/>
  <c r="H14" i="69"/>
  <c r="F14" i="69"/>
  <c r="C18" i="69"/>
  <c r="S11" i="36"/>
  <c r="T9" i="68"/>
  <c r="U9" i="68" s="1"/>
  <c r="B8" i="53"/>
  <c r="F18" i="53"/>
  <c r="F34" i="53"/>
  <c r="H8" i="53"/>
  <c r="F8" i="73"/>
  <c r="D34" i="73"/>
  <c r="D18" i="73"/>
  <c r="H8" i="73"/>
  <c r="F4" i="19"/>
  <c r="D12" i="29"/>
  <c r="F8" i="29"/>
  <c r="H8" i="29"/>
  <c r="D28" i="29"/>
  <c r="O34" i="19"/>
  <c r="N9" i="19"/>
  <c r="N33" i="19"/>
  <c r="N11" i="19" s="1"/>
  <c r="N14" i="19" s="1"/>
  <c r="T9" i="71"/>
  <c r="T11" i="71" s="1"/>
  <c r="T22" i="71" s="1"/>
  <c r="S11" i="71"/>
  <c r="S22" i="71" s="1"/>
  <c r="D18" i="69"/>
  <c r="F8" i="69"/>
  <c r="D34" i="69"/>
  <c r="H8" i="69"/>
  <c r="O13" i="19"/>
  <c r="E35" i="69" l="1"/>
  <c r="G35" i="53"/>
  <c r="E35" i="73"/>
  <c r="E29" i="29"/>
  <c r="D44" i="73"/>
  <c r="F34" i="73"/>
  <c r="D44" i="69"/>
  <c r="F34" i="69"/>
  <c r="D32" i="29"/>
  <c r="F6" i="19"/>
  <c r="F16" i="19" s="1"/>
  <c r="F28" i="29"/>
  <c r="H34" i="53"/>
  <c r="F44" i="53"/>
  <c r="B34" i="53"/>
  <c r="N24" i="19"/>
  <c r="I4" i="19"/>
  <c r="S22" i="36"/>
  <c r="D13" i="53"/>
  <c r="B10" i="29"/>
  <c r="M7" i="19"/>
  <c r="B13" i="69"/>
  <c r="B13" i="73"/>
  <c r="B7" i="67"/>
  <c r="H10" i="29" l="1"/>
  <c r="H12" i="29" s="1"/>
  <c r="B4" i="19"/>
  <c r="F10" i="29"/>
  <c r="B30" i="29"/>
  <c r="B12" i="29"/>
  <c r="F12" i="29"/>
  <c r="F13" i="73"/>
  <c r="H13" i="73"/>
  <c r="H18" i="73" s="1"/>
  <c r="B39" i="73"/>
  <c r="B18" i="73"/>
  <c r="F18" i="73"/>
  <c r="D39" i="53"/>
  <c r="H13" i="53"/>
  <c r="K13" i="53" s="1"/>
  <c r="D18" i="53"/>
  <c r="B13" i="53"/>
  <c r="B18" i="53" s="1"/>
  <c r="H18" i="53"/>
  <c r="G9" i="67" s="1"/>
  <c r="I6" i="19"/>
  <c r="I16" i="19" s="1"/>
  <c r="E32" i="29"/>
  <c r="G6" i="19"/>
  <c r="F29" i="29"/>
  <c r="H29" i="29" s="1"/>
  <c r="B39" i="69"/>
  <c r="H13" i="69"/>
  <c r="H18" i="69" s="1"/>
  <c r="F13" i="69"/>
  <c r="B18" i="69"/>
  <c r="F18" i="69"/>
  <c r="F18" i="19"/>
  <c r="F21" i="19" s="1"/>
  <c r="H34" i="73"/>
  <c r="E36" i="73"/>
  <c r="F35" i="73"/>
  <c r="H35" i="73" s="1"/>
  <c r="E44" i="73"/>
  <c r="B9" i="67"/>
  <c r="B25" i="67"/>
  <c r="B29" i="67" s="1"/>
  <c r="O7" i="19"/>
  <c r="M9" i="19"/>
  <c r="M33" i="19"/>
  <c r="J21" i="53"/>
  <c r="H34" i="69"/>
  <c r="B35" i="53"/>
  <c r="G44" i="53"/>
  <c r="H35" i="53"/>
  <c r="H28" i="29"/>
  <c r="F35" i="69"/>
  <c r="H35" i="69" s="1"/>
  <c r="E36" i="69"/>
  <c r="F36" i="69" s="1"/>
  <c r="E44" i="69"/>
  <c r="I35" i="53" l="1"/>
  <c r="F36" i="73"/>
  <c r="G36" i="53"/>
  <c r="H36" i="53" s="1"/>
  <c r="F39" i="69"/>
  <c r="H39" i="69" s="1"/>
  <c r="B44" i="69"/>
  <c r="H39" i="53"/>
  <c r="D44" i="53"/>
  <c r="B39" i="53"/>
  <c r="B6" i="19"/>
  <c r="B18" i="19" s="1"/>
  <c r="F30" i="29"/>
  <c r="B32" i="29"/>
  <c r="O33" i="19"/>
  <c r="M11" i="19"/>
  <c r="F39" i="73"/>
  <c r="H39" i="73" s="1"/>
  <c r="B44" i="73"/>
  <c r="O9" i="19"/>
  <c r="Q7" i="19"/>
  <c r="G18" i="19"/>
  <c r="I18" i="19" s="1"/>
  <c r="I21" i="19" s="1"/>
  <c r="I22" i="19" s="1"/>
  <c r="G16" i="19"/>
  <c r="J4" i="19"/>
  <c r="E9" i="67" s="1"/>
  <c r="F9" i="67" s="1"/>
  <c r="E4" i="19"/>
  <c r="K35" i="53" l="1"/>
  <c r="C7" i="67"/>
  <c r="B16" i="19"/>
  <c r="G21" i="19"/>
  <c r="Q9" i="19"/>
  <c r="O24" i="19"/>
  <c r="O25" i="19" s="1"/>
  <c r="E40" i="53"/>
  <c r="C40" i="69"/>
  <c r="O11" i="19"/>
  <c r="O14" i="19" s="1"/>
  <c r="C31" i="29"/>
  <c r="C40" i="73"/>
  <c r="M14" i="19"/>
  <c r="M24" i="19"/>
  <c r="H30" i="29"/>
  <c r="H9" i="67"/>
  <c r="C6" i="19" l="1"/>
  <c r="F31" i="29"/>
  <c r="C32" i="29"/>
  <c r="C18" i="19" s="1"/>
  <c r="E18" i="19" s="1"/>
  <c r="Q31" i="19"/>
  <c r="Q34" i="19"/>
  <c r="D7" i="67"/>
  <c r="C41" i="69"/>
  <c r="F41" i="69" s="1"/>
  <c r="C44" i="69"/>
  <c r="F40" i="69"/>
  <c r="C41" i="73"/>
  <c r="F40" i="73"/>
  <c r="C44" i="73"/>
  <c r="E44" i="53"/>
  <c r="H40" i="53"/>
  <c r="B40" i="53"/>
  <c r="B44" i="53" s="1"/>
  <c r="B21" i="19"/>
  <c r="I40" i="53" l="1"/>
  <c r="I44" i="53" s="1"/>
  <c r="C8" i="67"/>
  <c r="H44" i="53"/>
  <c r="J44" i="53" s="1"/>
  <c r="K44" i="53" s="1"/>
  <c r="E41" i="53"/>
  <c r="H41" i="53" s="1"/>
  <c r="F41" i="73"/>
  <c r="C16" i="19"/>
  <c r="E6" i="19"/>
  <c r="E16" i="19" s="1"/>
  <c r="J16" i="19" s="1"/>
  <c r="J6" i="19"/>
  <c r="H40" i="73"/>
  <c r="H44" i="73" s="1"/>
  <c r="F44" i="73"/>
  <c r="H31" i="29"/>
  <c r="H32" i="29" s="1"/>
  <c r="F32" i="29"/>
  <c r="H40" i="69"/>
  <c r="H44" i="69" s="1"/>
  <c r="F44" i="69"/>
  <c r="E21" i="19"/>
  <c r="J18" i="19"/>
  <c r="K16" i="19" l="1"/>
  <c r="J17" i="19"/>
  <c r="J21" i="19"/>
  <c r="J22" i="19" s="1"/>
  <c r="E22" i="19"/>
  <c r="C21" i="19"/>
  <c r="D8" i="67"/>
  <c r="D9" i="67" s="1"/>
  <c r="E12" i="67" s="1"/>
  <c r="C9" i="67"/>
</calcChain>
</file>

<file path=xl/sharedStrings.xml><?xml version="1.0" encoding="utf-8"?>
<sst xmlns="http://schemas.openxmlformats.org/spreadsheetml/2006/main" count="2399" uniqueCount="964">
  <si>
    <t>контингент сирот и детей, оставшихся без попечения родителей, на конец года.</t>
  </si>
  <si>
    <t>k нг_сироты-</t>
  </si>
  <si>
    <t>k кг_сироты-</t>
  </si>
  <si>
    <t>k_сироты=</t>
  </si>
  <si>
    <t>базовый</t>
  </si>
  <si>
    <t>повышенный</t>
  </si>
  <si>
    <t>Почтовые расходы                                                                                                        (приобретение конвертов,отправка корреспонденции,заказные письма,факс)</t>
  </si>
  <si>
    <t>оплата труда основного персонала</t>
  </si>
  <si>
    <t>материальные запасы</t>
  </si>
  <si>
    <t>комм.услуги (вода,тепло-50%,электроэн.-90%)</t>
  </si>
  <si>
    <t>содержание</t>
  </si>
  <si>
    <t>услуги связи</t>
  </si>
  <si>
    <t>транспортные услуги</t>
  </si>
  <si>
    <t xml:space="preserve">оплата труда и начисления работникам не имеющих отношения к преподавательской деятельности </t>
  </si>
  <si>
    <t>компенсация книгоиздания</t>
  </si>
  <si>
    <t>ремонт (до 500 000,00 руб.)</t>
  </si>
  <si>
    <t>211+213</t>
  </si>
  <si>
    <t>Наименование расходов</t>
  </si>
  <si>
    <t>Экр</t>
  </si>
  <si>
    <t>Код</t>
  </si>
  <si>
    <t>комм.услуги (тепло-50%,электроэн.-10%)</t>
  </si>
  <si>
    <t>земельный налог</t>
  </si>
  <si>
    <t>плата за неготивное воздействие на окружающую среду</t>
  </si>
  <si>
    <t>Базовый уровень</t>
  </si>
  <si>
    <t>Повышенный  уровень</t>
  </si>
  <si>
    <t>приобретение имущества                        (до 200 000,00 руб.)</t>
  </si>
  <si>
    <t>приобретение имущества                                     (до 200 000,00 руб.)</t>
  </si>
  <si>
    <t>Нормативные затраты на оказание государственной услуги по социальной поддержке и социальному обсуживанию детей-сирот и детей,оставшихся без попечения родителей,находящихся на полном государственном обеспечении:</t>
  </si>
  <si>
    <t>норматив на обмундирование в год</t>
  </si>
  <si>
    <t xml:space="preserve">норматив на проезд в год </t>
  </si>
  <si>
    <t>нормативные затраты на выплату социальной стипендии в месяц</t>
  </si>
  <si>
    <t>нормативные  затраты на выплату пособия на приобретение учебной литературы и письменных принадлежностей к началу нового учебного года</t>
  </si>
  <si>
    <t xml:space="preserve">нормативные  затраты на выплату компенсации на проведение культурно-массовых мероприятий </t>
  </si>
  <si>
    <t xml:space="preserve">                                                    =</t>
  </si>
  <si>
    <t>Нормативные затраты на оказание государственной услуги по социальной поддержке и социальному обсуживанию детей-сирот и детей,оставшихся без попечения родителей,находящихся под опекой и попечительством:</t>
  </si>
  <si>
    <t>где:</t>
  </si>
  <si>
    <t>нормативные затраты на проезд в год</t>
  </si>
  <si>
    <t>объем субсидии на выполнение государственного задания по организации представления среднего профессионального образования  в соответствующем финансовом году</t>
  </si>
  <si>
    <t>С             -</t>
  </si>
  <si>
    <r>
      <t>k</t>
    </r>
    <r>
      <rPr>
        <b/>
        <sz val="8"/>
        <color indexed="8"/>
        <rFont val="Arial"/>
        <family val="2"/>
        <charset val="204"/>
      </rPr>
      <t>спо       -</t>
    </r>
  </si>
  <si>
    <t>кол-во месяцев в году</t>
  </si>
  <si>
    <t>кол-во студентов</t>
  </si>
  <si>
    <t>размер стипендии</t>
  </si>
  <si>
    <t>Итого, руб.</t>
  </si>
  <si>
    <t xml:space="preserve">период </t>
  </si>
  <si>
    <t>с 01.09.2012 по 31.12.2012</t>
  </si>
  <si>
    <t>с 01.01.2012 по 31.12.2012</t>
  </si>
  <si>
    <t>с 01.01.2012 по 30.06.2012</t>
  </si>
  <si>
    <t xml:space="preserve">Расшифровка расходов по прочим расходам                                                                                               " Стипендия"                                                                                                             </t>
  </si>
  <si>
    <t>норматив затрат на оказание государственной услуги по организации представления среднего профессионального образования учреждением в соответствующем финансовом году</t>
  </si>
  <si>
    <t>объем (количество единиц) оказания государственной услуги по организации представления среднего профессионального образования учреждением в соответствующем финансовом году</t>
  </si>
  <si>
    <r>
      <t>N</t>
    </r>
    <r>
      <rPr>
        <b/>
        <i/>
        <sz val="8"/>
        <color indexed="8"/>
        <rFont val="Arial"/>
        <family val="2"/>
        <charset val="204"/>
      </rPr>
      <t>им       -</t>
    </r>
  </si>
  <si>
    <t>нормативные затраты на содержание имущества учреждения в 2012 году</t>
  </si>
  <si>
    <t>Объем субсидий на выполнение государственного задания в 2012 году :</t>
  </si>
  <si>
    <t>контингент учащихся очной формы обучения на начало года</t>
  </si>
  <si>
    <t>контингент учащихся заочной формы обучения на начало года</t>
  </si>
  <si>
    <t>контингент учащихся очной формы обучения на конец года</t>
  </si>
  <si>
    <t>контингент учащихся заочной формы обучения на конец года</t>
  </si>
  <si>
    <r>
      <t xml:space="preserve">k </t>
    </r>
    <r>
      <rPr>
        <b/>
        <i/>
        <sz val="8"/>
        <color indexed="8"/>
        <rFont val="Arial"/>
        <family val="2"/>
        <charset val="204"/>
      </rPr>
      <t>нг_спо.очн.</t>
    </r>
  </si>
  <si>
    <t>Преподаватели базового уровня (48602 часов), включая мастеров</t>
  </si>
  <si>
    <t>Преподаватели  повышенного уровня (11686 часов),включая мастеров</t>
  </si>
  <si>
    <t xml:space="preserve">За дератизацию  </t>
  </si>
  <si>
    <t xml:space="preserve">За дезинсекцию </t>
  </si>
  <si>
    <r>
      <t xml:space="preserve">Потребление электрической  энергии по государственному контракту № 510 от 01.01.2012г.                                                                  </t>
    </r>
    <r>
      <rPr>
        <b/>
        <sz val="10"/>
        <color indexed="8"/>
        <rFont val="Arial"/>
        <family val="2"/>
        <charset val="204"/>
      </rPr>
      <t>ОАО "Екатеринбургэнергосбыт"</t>
    </r>
  </si>
  <si>
    <r>
      <t xml:space="preserve">Потребление тепловой энергии по договору энергоснабжения № 50277 от    01.01.2012 г.                           </t>
    </r>
    <r>
      <rPr>
        <b/>
        <sz val="10"/>
        <color indexed="8"/>
        <rFont val="Arial"/>
        <family val="2"/>
        <charset val="204"/>
      </rPr>
      <t>ООО "СТК"</t>
    </r>
  </si>
  <si>
    <r>
      <t xml:space="preserve">Оплата питьевой воды и прием сточных вод по договору № 1537 от 01.01.2012г.                                                     </t>
    </r>
    <r>
      <rPr>
        <b/>
        <sz val="10"/>
        <color indexed="8"/>
        <rFont val="Arial"/>
        <family val="2"/>
        <charset val="204"/>
      </rPr>
      <t>МУП "Водоканал"</t>
    </r>
  </si>
  <si>
    <t>Повышенный уровень</t>
  </si>
  <si>
    <t>ЭКР</t>
  </si>
  <si>
    <r>
      <t>k</t>
    </r>
    <r>
      <rPr>
        <b/>
        <i/>
        <sz val="8"/>
        <color indexed="8"/>
        <rFont val="Arial"/>
        <family val="2"/>
        <charset val="204"/>
      </rPr>
      <t xml:space="preserve"> нг_спо.з</t>
    </r>
  </si>
  <si>
    <r>
      <t>k к</t>
    </r>
    <r>
      <rPr>
        <b/>
        <i/>
        <sz val="8"/>
        <color indexed="8"/>
        <rFont val="Arial"/>
        <family val="2"/>
        <charset val="204"/>
      </rPr>
      <t>г_спо.очн.</t>
    </r>
  </si>
  <si>
    <r>
      <t>k</t>
    </r>
    <r>
      <rPr>
        <b/>
        <i/>
        <sz val="8"/>
        <color indexed="8"/>
        <rFont val="Arial"/>
        <family val="2"/>
        <charset val="204"/>
      </rPr>
      <t xml:space="preserve"> кг_спо.з</t>
    </r>
  </si>
  <si>
    <t>kспо</t>
  </si>
  <si>
    <t>Показатель среднегодового приведенного контингента обучающихся на  2012 г.</t>
  </si>
  <si>
    <t>Норматив затрат на оказание государственной услуги по организации представления среднего профессионального образования учреждением в 2012 году</t>
  </si>
  <si>
    <t>норматив затрат, непосредственно связанный с оказанием государственной услуги по организации представления среднего профессионального образования;</t>
  </si>
  <si>
    <t>норматив затрат на общехозяйственные нужды (за исключением затрат, которые учитываются в составе нормативных затрат на содержание имущества учреждения).</t>
  </si>
  <si>
    <r>
      <t xml:space="preserve">N </t>
    </r>
    <r>
      <rPr>
        <b/>
        <i/>
        <sz val="8"/>
        <color indexed="8"/>
        <rFont val="Arial"/>
        <family val="2"/>
        <charset val="204"/>
      </rPr>
      <t>непоср._спо</t>
    </r>
  </si>
  <si>
    <r>
      <t xml:space="preserve">N </t>
    </r>
    <r>
      <rPr>
        <b/>
        <i/>
        <sz val="8"/>
        <color indexed="8"/>
        <rFont val="Arial"/>
        <family val="2"/>
        <charset val="204"/>
      </rPr>
      <t>общ._спо</t>
    </r>
  </si>
  <si>
    <t>норматив затрат для непосредственно связанных с оказанием государственной услуги по организации представления среднего профессионального образования (нормативные затраты, определенные для в расчете на единицу оказания государственной услуги на соответствующий финансовый год)</t>
  </si>
  <si>
    <r>
      <t xml:space="preserve">G </t>
    </r>
    <r>
      <rPr>
        <b/>
        <i/>
        <sz val="8"/>
        <color indexed="8"/>
        <rFont val="Arial"/>
        <family val="2"/>
        <charset val="204"/>
      </rPr>
      <t>непоср._спо</t>
    </r>
  </si>
  <si>
    <r>
      <t xml:space="preserve">G </t>
    </r>
    <r>
      <rPr>
        <b/>
        <i/>
        <sz val="8"/>
        <color indexed="8"/>
        <rFont val="Arial"/>
        <family val="2"/>
        <charset val="204"/>
      </rPr>
      <t>общ_спо</t>
    </r>
  </si>
  <si>
    <t>Брагин</t>
  </si>
  <si>
    <t>Кретов</t>
  </si>
  <si>
    <t>Дымшаков</t>
  </si>
  <si>
    <t>норматив затрат группы расходов в составе затрат на общехозяйственные нужды для государственной услуги по организации представления среднего профессионального образования (нормативные затраты, определенные в расчете на единицу оказания государственной услуги на соответствующий финансовый год).</t>
  </si>
  <si>
    <r>
      <t>Норматив затрат, непосредственно связанных с оказанием государственных услуг (N</t>
    </r>
    <r>
      <rPr>
        <b/>
        <i/>
        <sz val="8"/>
        <color indexed="8"/>
        <rFont val="Arial"/>
        <family val="2"/>
        <charset val="204"/>
      </rPr>
      <t>непоср_спо</t>
    </r>
    <r>
      <rPr>
        <b/>
        <i/>
        <sz val="10"/>
        <color indexed="8"/>
        <rFont val="Arial"/>
        <family val="2"/>
        <charset val="204"/>
      </rPr>
      <t>) включает в себя:</t>
    </r>
  </si>
  <si>
    <t>нормативные затраты на фонд оплаты труда основного персонала в очередном финансовом году;</t>
  </si>
  <si>
    <r>
      <t>N</t>
    </r>
    <r>
      <rPr>
        <b/>
        <i/>
        <sz val="8"/>
        <color indexed="8"/>
        <rFont val="Arial"/>
        <family val="2"/>
        <charset val="204"/>
      </rPr>
      <t xml:space="preserve">спо </t>
    </r>
    <r>
      <rPr>
        <b/>
        <sz val="11"/>
        <color indexed="8"/>
        <rFont val="Arial"/>
        <family val="2"/>
        <charset val="204"/>
      </rPr>
      <t xml:space="preserve">    -</t>
    </r>
  </si>
  <si>
    <t>норматив затрат на оплату труда основного персонала в текущем финансовом году в расчете на единицу расчетной численности основного персонала в текущем финансовом году;</t>
  </si>
  <si>
    <t>коэффициент индексации заработной платы основного персонала в очередном финансовом году;</t>
  </si>
  <si>
    <t>расчетная численность основного персонала для государственной услуги в очередном финансовом году</t>
  </si>
  <si>
    <t>ИТОГо</t>
  </si>
  <si>
    <t>количество единиц оказания государственной услуги в очередном финансовом году.</t>
  </si>
  <si>
    <t>i</t>
  </si>
  <si>
    <t>k</t>
  </si>
  <si>
    <t>2.Норматив затрат на приобретение материальных запасов, потребляемых в процессе оказания государственной услуги по организации представления среднего профессионального образования (G мз) рассчитывается по следующей формуле:</t>
  </si>
  <si>
    <t>Внебюджет</t>
  </si>
  <si>
    <t>Бюджет</t>
  </si>
  <si>
    <t>Размер платы за абонентскую плату в месяц  до 30.06.2012 г.</t>
  </si>
  <si>
    <t>Экономист по БУ и АХД 2 категории</t>
  </si>
  <si>
    <t>Оказание услуг электросвязи согласно муниципального контракта  № 26470 от 01.01.2012 г.( ОАО"Ростелеком" )</t>
  </si>
  <si>
    <t>За предоставление услуг доступа к ресурсам Екат.универ.сети EUNNet по договору № С-020/2011 от 01.02.2011 г. (УРЦИ УрГУ)</t>
  </si>
  <si>
    <t>Местные соединения, услуги междугородней связи.</t>
  </si>
  <si>
    <t>Размер платы за  в месяц до 31.12.2012 г.</t>
  </si>
  <si>
    <t xml:space="preserve">Аренда нежилого помещения по договору от 01.01.2012 г. (г.Североуральск) </t>
  </si>
  <si>
    <t>норматив затрат на приобретение материальных запасов для государственной услуги по организации представления среднего профессионального образования в текущем финансовом году;</t>
  </si>
  <si>
    <t>Расшифровка расходов по прочим расходам                                                                                                  (Культурно-массовые мероприятия) ГБОУ СПО СО "Екатеринбургского монтажного колледжа" по СМЕТЕ РАСХОДОВ НА 2012 ГОД  по коду 07044270000001226</t>
  </si>
  <si>
    <t>коэффициент индексации расходов на приобретение материальных запасов в очередном финансовом году.</t>
  </si>
  <si>
    <t xml:space="preserve">N стип *12 </t>
  </si>
  <si>
    <r>
      <t xml:space="preserve">N </t>
    </r>
    <r>
      <rPr>
        <b/>
        <i/>
        <sz val="8"/>
        <color indexed="8"/>
        <rFont val="Arial"/>
        <family val="2"/>
        <charset val="204"/>
      </rPr>
      <t>стип</t>
    </r>
    <r>
      <rPr>
        <b/>
        <sz val="11"/>
        <color indexed="8"/>
        <rFont val="Arial"/>
        <family val="2"/>
        <charset val="204"/>
      </rPr>
      <t>-</t>
    </r>
  </si>
  <si>
    <t>размер академической стипендии, установленный Постановлением Правительства Свердловской области от 10 марта 2005 г № 175-ПП «Об утверждении Положения о стипендиальном обеспечении учащихся и студентов областных государственных образовательных учреждений начального и среднего профессионального образования»;</t>
  </si>
  <si>
    <r>
      <t xml:space="preserve">N </t>
    </r>
    <r>
      <rPr>
        <b/>
        <i/>
        <sz val="8"/>
        <color indexed="8"/>
        <rFont val="Arial"/>
        <family val="2"/>
        <charset val="204"/>
      </rPr>
      <t>стип=</t>
    </r>
  </si>
  <si>
    <r>
      <t xml:space="preserve"> = G</t>
    </r>
    <r>
      <rPr>
        <sz val="7"/>
        <color indexed="8"/>
        <rFont val="Times New Roman"/>
        <family val="1"/>
        <charset val="204"/>
      </rPr>
      <t>ку</t>
    </r>
    <r>
      <rPr>
        <sz val="13"/>
        <color indexed="8"/>
        <rFont val="Times New Roman"/>
        <family val="1"/>
        <charset val="204"/>
      </rPr>
      <t xml:space="preserve"> + G</t>
    </r>
    <r>
      <rPr>
        <sz val="7"/>
        <color indexed="8"/>
        <rFont val="Times New Roman"/>
        <family val="1"/>
        <charset val="204"/>
      </rPr>
      <t>си(гу)</t>
    </r>
    <r>
      <rPr>
        <sz val="13"/>
        <color indexed="8"/>
        <rFont val="Times New Roman"/>
        <family val="1"/>
        <charset val="204"/>
      </rPr>
      <t xml:space="preserve"> + G</t>
    </r>
    <r>
      <rPr>
        <sz val="7"/>
        <color indexed="8"/>
        <rFont val="Times New Roman"/>
        <family val="1"/>
        <charset val="204"/>
      </rPr>
      <t>связь</t>
    </r>
    <r>
      <rPr>
        <sz val="13"/>
        <color indexed="8"/>
        <rFont val="Times New Roman"/>
        <family val="1"/>
        <charset val="204"/>
      </rPr>
      <t xml:space="preserve"> + G</t>
    </r>
    <r>
      <rPr>
        <sz val="7"/>
        <color indexed="8"/>
        <rFont val="Times New Roman"/>
        <family val="1"/>
        <charset val="204"/>
      </rPr>
      <t>транспорт</t>
    </r>
    <r>
      <rPr>
        <sz val="13"/>
        <color indexed="8"/>
        <rFont val="Times New Roman"/>
        <family val="1"/>
        <charset val="204"/>
      </rPr>
      <t xml:space="preserve"> + G</t>
    </r>
    <r>
      <rPr>
        <sz val="7"/>
        <color indexed="8"/>
        <rFont val="Times New Roman"/>
        <family val="1"/>
        <charset val="204"/>
      </rPr>
      <t xml:space="preserve">ПП </t>
    </r>
    <r>
      <rPr>
        <sz val="13"/>
        <color indexed="8"/>
        <rFont val="Times New Roman"/>
        <family val="1"/>
        <charset val="204"/>
      </rPr>
      <t>+ G</t>
    </r>
    <r>
      <rPr>
        <sz val="7"/>
        <color indexed="8"/>
        <rFont val="Times New Roman"/>
        <family val="1"/>
        <charset val="204"/>
      </rPr>
      <t>комп</t>
    </r>
    <r>
      <rPr>
        <sz val="13"/>
        <color indexed="8"/>
        <rFont val="Times New Roman"/>
        <family val="1"/>
        <charset val="204"/>
      </rPr>
      <t xml:space="preserve"> </t>
    </r>
  </si>
  <si>
    <r>
      <rPr>
        <b/>
        <i/>
        <sz val="10"/>
        <color indexed="8"/>
        <rFont val="Arial"/>
        <family val="2"/>
        <charset val="204"/>
      </rPr>
      <t>G</t>
    </r>
    <r>
      <rPr>
        <b/>
        <i/>
        <sz val="8"/>
        <color indexed="8"/>
        <rFont val="Arial"/>
        <family val="2"/>
        <charset val="204"/>
      </rPr>
      <t xml:space="preserve"> связь</t>
    </r>
  </si>
  <si>
    <r>
      <rPr>
        <b/>
        <sz val="10"/>
        <color indexed="8"/>
        <rFont val="Arial"/>
        <family val="2"/>
        <charset val="204"/>
      </rPr>
      <t>G</t>
    </r>
    <r>
      <rPr>
        <b/>
        <i/>
        <sz val="8"/>
        <color indexed="8"/>
        <rFont val="Arial"/>
        <family val="2"/>
        <charset val="204"/>
      </rPr>
      <t xml:space="preserve"> ку</t>
    </r>
  </si>
  <si>
    <r>
      <rPr>
        <b/>
        <sz val="10"/>
        <color indexed="8"/>
        <rFont val="Arial"/>
        <family val="2"/>
        <charset val="204"/>
      </rPr>
      <t>G</t>
    </r>
    <r>
      <rPr>
        <b/>
        <sz val="11"/>
        <color indexed="8"/>
        <rFont val="Arial"/>
        <family val="2"/>
        <charset val="204"/>
      </rPr>
      <t xml:space="preserve"> </t>
    </r>
    <r>
      <rPr>
        <b/>
        <i/>
        <sz val="8"/>
        <color indexed="8"/>
        <rFont val="Arial"/>
        <family val="2"/>
        <charset val="204"/>
      </rPr>
      <t>си(гу)</t>
    </r>
  </si>
  <si>
    <r>
      <t xml:space="preserve">G </t>
    </r>
    <r>
      <rPr>
        <b/>
        <i/>
        <sz val="8"/>
        <color indexed="8"/>
        <rFont val="Arial"/>
        <family val="2"/>
        <charset val="204"/>
      </rPr>
      <t>пп</t>
    </r>
  </si>
  <si>
    <r>
      <t xml:space="preserve">G </t>
    </r>
    <r>
      <rPr>
        <b/>
        <sz val="8"/>
        <color indexed="8"/>
        <rFont val="Arial"/>
        <family val="2"/>
        <charset val="204"/>
      </rPr>
      <t>пр</t>
    </r>
  </si>
  <si>
    <t>Всего за месяц</t>
  </si>
  <si>
    <t>Всего за календарный год</t>
  </si>
  <si>
    <t>Руководители структурных подразделений</t>
  </si>
  <si>
    <t>Мастера</t>
  </si>
  <si>
    <t>Итого по основному персоналу (401201)</t>
  </si>
  <si>
    <t>менее или равно  500 000,00 по одной субсидии</t>
  </si>
  <si>
    <t>менее 200 000,00 по одной субсидии</t>
  </si>
  <si>
    <t>субсидия</t>
  </si>
  <si>
    <r>
      <t>5780,00</t>
    </r>
    <r>
      <rPr>
        <sz val="8"/>
        <rFont val="Arial"/>
        <family val="2"/>
        <charset val="204"/>
      </rPr>
      <t xml:space="preserve"> руб.</t>
    </r>
  </si>
  <si>
    <r>
      <t>до 12 %</t>
    </r>
    <r>
      <rPr>
        <sz val="8"/>
        <rFont val="Arial"/>
        <family val="2"/>
        <charset val="204"/>
      </rPr>
      <t xml:space="preserve"> от предметной нагрузки,требующих проверки работ</t>
    </r>
  </si>
  <si>
    <r>
      <t>до 17 %</t>
    </r>
    <r>
      <rPr>
        <sz val="8"/>
        <rFont val="Arial"/>
        <family val="2"/>
        <charset val="204"/>
      </rPr>
      <t xml:space="preserve"> от тариф.ставки</t>
    </r>
  </si>
  <si>
    <r>
      <t xml:space="preserve">12 % </t>
    </r>
    <r>
      <rPr>
        <sz val="8"/>
        <rFont val="Arial"/>
        <family val="2"/>
        <charset val="204"/>
      </rPr>
      <t>от тарифной ставки</t>
    </r>
  </si>
  <si>
    <r>
      <t>20 %</t>
    </r>
    <r>
      <rPr>
        <sz val="8"/>
        <rFont val="Arial"/>
        <family val="2"/>
        <charset val="204"/>
      </rPr>
      <t xml:space="preserve"> от тариф.ставки или оклада</t>
    </r>
  </si>
  <si>
    <r>
      <t>от 15 % до 50 %</t>
    </r>
    <r>
      <rPr>
        <sz val="8"/>
        <color indexed="8"/>
        <rFont val="Arial"/>
        <family val="2"/>
        <charset val="204"/>
      </rPr>
      <t xml:space="preserve"> от тариф.ставки</t>
    </r>
  </si>
  <si>
    <t>Матрац</t>
  </si>
  <si>
    <t>Подушка</t>
  </si>
  <si>
    <t>Покрывало</t>
  </si>
  <si>
    <t>Пододеяльник</t>
  </si>
  <si>
    <t>Простынь</t>
  </si>
  <si>
    <t>Наволочка</t>
  </si>
  <si>
    <t xml:space="preserve">Шторы </t>
  </si>
  <si>
    <r>
      <t>Подразделение "8"</t>
    </r>
    <r>
      <rPr>
        <i/>
        <sz val="8"/>
        <rFont val="Arial"/>
        <family val="2"/>
        <charset val="204"/>
      </rPr>
      <t xml:space="preserve"> (ист 13 по В, ист 1 по Б)</t>
    </r>
  </si>
  <si>
    <t>Ракетки для настольного тениса</t>
  </si>
  <si>
    <t>Шарики для настольного тениса (коробка 6 шт.)</t>
  </si>
  <si>
    <t>Лыжи (пара)</t>
  </si>
  <si>
    <t>Палки лыжные (пара)</t>
  </si>
  <si>
    <t xml:space="preserve">Бонинки лыжные </t>
  </si>
  <si>
    <t>Сетка для н/тениса</t>
  </si>
  <si>
    <t>Мяч баскетбольный</t>
  </si>
  <si>
    <t>Оборудование для спортивного зала</t>
  </si>
  <si>
    <t>Для актового зала и театральной комнаты</t>
  </si>
  <si>
    <t>Софиты</t>
  </si>
  <si>
    <t>Микшер 10- канальный</t>
  </si>
  <si>
    <t>Покрытие для сцены</t>
  </si>
  <si>
    <t>Жалюзи для театральной комнаты</t>
  </si>
  <si>
    <t>Гитара электроакустическая</t>
  </si>
  <si>
    <t>Чехол для электрогитары</t>
  </si>
  <si>
    <t>Чехол для электроакустической гитары</t>
  </si>
  <si>
    <t>Барабанная установка</t>
  </si>
  <si>
    <t>ПЛАН</t>
  </si>
  <si>
    <t>в т.ч. Зав.производством столовой</t>
  </si>
  <si>
    <t>в т.ч. Администратор столовой</t>
  </si>
  <si>
    <t>в т.ч. Калькулятор столовой</t>
  </si>
  <si>
    <t>в т.ч. Кассир столовой и буфета</t>
  </si>
  <si>
    <t>Повар</t>
  </si>
  <si>
    <t>Мойщик посуды</t>
  </si>
  <si>
    <t>Повар (Журавлева)</t>
  </si>
  <si>
    <t>Кухонный рабочий</t>
  </si>
  <si>
    <t>Пекарь</t>
  </si>
  <si>
    <t>Буфетчица</t>
  </si>
  <si>
    <t>Грузчик</t>
  </si>
  <si>
    <t>Уборщик служебных помещений</t>
  </si>
  <si>
    <t>в т.ч. Бухгалтер</t>
  </si>
  <si>
    <t>общежитие проверка</t>
  </si>
  <si>
    <t>общежитие</t>
  </si>
  <si>
    <t>столовая</t>
  </si>
  <si>
    <t>Итого по сотрудникам общежития</t>
  </si>
  <si>
    <t>Итого по сотрудникам столовой</t>
  </si>
  <si>
    <t>Подразделение " 8 "</t>
  </si>
  <si>
    <t>Подразделение " 15 "</t>
  </si>
  <si>
    <t>Расшифровка расходов по прочим выплатам "Компенсация на книгоиздательскую продукцию"  ГБОУ СПО СО "Екатеринбургского монтажного колледжа" по СМЕТЕ РАСХОДОВ НА 2012 ГОД  по коду 212</t>
  </si>
  <si>
    <t>Подразделение " 15"</t>
  </si>
  <si>
    <t xml:space="preserve">Шкаф-купе </t>
  </si>
  <si>
    <t>Стулья для сцены</t>
  </si>
  <si>
    <t>Стол для сцены</t>
  </si>
  <si>
    <t>Зеркало в раме 1,20*60</t>
  </si>
  <si>
    <t xml:space="preserve">Акустические мониторы для сцены </t>
  </si>
  <si>
    <t>Процессор для электрогитары</t>
  </si>
  <si>
    <t>Комбоусилитель для электрогитары</t>
  </si>
  <si>
    <t>Шторы для сцены (занавес)</t>
  </si>
  <si>
    <t>Фотоаппарат</t>
  </si>
  <si>
    <t>Видеокамера</t>
  </si>
  <si>
    <t>Табурет для театральной</t>
  </si>
  <si>
    <t>Углошлифовальная машинка</t>
  </si>
  <si>
    <t>Точильный станок</t>
  </si>
  <si>
    <t>Перфоратор</t>
  </si>
  <si>
    <t>Циркулярная пила</t>
  </si>
  <si>
    <t>Бензокосилка</t>
  </si>
  <si>
    <t>Электрорубанок</t>
  </si>
  <si>
    <t>Светильник  (на 4 плафона)</t>
  </si>
  <si>
    <t>Тумба прикроватная</t>
  </si>
  <si>
    <t>Стол обеденный</t>
  </si>
  <si>
    <t>Стол ученический 2-х мест. ЛДСП</t>
  </si>
  <si>
    <t>Табуретки</t>
  </si>
  <si>
    <t>Шкаф для одежды</t>
  </si>
  <si>
    <t>Карнизы</t>
  </si>
  <si>
    <t>Шуруповерт</t>
  </si>
  <si>
    <t>Пила циркулярная</t>
  </si>
  <si>
    <t>Фен технический</t>
  </si>
  <si>
    <t>Стол преподавателя</t>
  </si>
  <si>
    <t>Стул преподавателя</t>
  </si>
  <si>
    <t>Принтер</t>
  </si>
  <si>
    <t>Жалюзи</t>
  </si>
  <si>
    <t>Ящик для ключей</t>
  </si>
  <si>
    <t>Стенд для объявлений</t>
  </si>
  <si>
    <t>Шкаф для документов</t>
  </si>
  <si>
    <t>Посудомоечная машина</t>
  </si>
  <si>
    <t>Контейнер для общежития</t>
  </si>
  <si>
    <t>Контейнер для отходов люм.ламп</t>
  </si>
  <si>
    <t>Э.кипятильник на линию раздачи</t>
  </si>
  <si>
    <r>
      <t xml:space="preserve">Надбавки стимулирующего характера                                               </t>
    </r>
    <r>
      <rPr>
        <b/>
        <sz val="8"/>
        <rFont val="Arial"/>
        <family val="2"/>
        <charset val="204"/>
      </rPr>
      <t>30 % от всего ФОТ</t>
    </r>
  </si>
  <si>
    <t>Итого работников прочих (401202)</t>
  </si>
  <si>
    <t>Итого работников прочих (401102)</t>
  </si>
  <si>
    <t>Итого по основному персоналу (401101)</t>
  </si>
  <si>
    <t>ГБОУ СПО СО  "Екатеринбургский монтажный колледж"</t>
  </si>
  <si>
    <t>Спец.одежда</t>
  </si>
  <si>
    <r>
      <t xml:space="preserve">Надбавки стимулирующего характера                                                          </t>
    </r>
    <r>
      <rPr>
        <b/>
        <sz val="8"/>
        <rFont val="Arial"/>
        <family val="2"/>
        <charset val="204"/>
      </rPr>
      <t>30 %</t>
    </r>
    <r>
      <rPr>
        <sz val="8"/>
        <rFont val="Arial"/>
        <family val="2"/>
        <charset val="204"/>
      </rPr>
      <t xml:space="preserve"> от всего ФОТ</t>
    </r>
  </si>
  <si>
    <t xml:space="preserve">Всего за месяц </t>
  </si>
  <si>
    <t>норматив затрат на коммунальные услуг</t>
  </si>
  <si>
    <t>норматив затрат на содержание объектов особо ценного движимого имущества и недвижимого имущества, эксплуатируемого в процессе оказания государственных услуг (в т.ч. затраты на арендные платежи);</t>
  </si>
  <si>
    <t>норматив затрат на приобретение услуг связи;</t>
  </si>
  <si>
    <t>норматив затрат на приобретение транспортных услуг;</t>
  </si>
  <si>
    <t>норматив затрат на оплату труда и начисления на выплаты по оплате труда работников учреждения, которые не принимают непосредственного участия в оказании государственной услуги (административно-управленческого, административно-хозяйственного, педагогического персонала, не относящегося к основному персоналу, вспомогательного и иного персонала);</t>
  </si>
  <si>
    <t>норматив затрат на прочие общехозяйственные нужды.</t>
  </si>
  <si>
    <t>1.Норматив затрат на коммунальные услуги рассчитывается по следующей формуле:</t>
  </si>
  <si>
    <t>нормативные затраты на оплату коммунальных услуг для государственной услуги по организации представления среднего профессионального образования в очередном финансовом году</t>
  </si>
  <si>
    <r>
      <t xml:space="preserve">k </t>
    </r>
    <r>
      <rPr>
        <b/>
        <i/>
        <sz val="8"/>
        <color indexed="8"/>
        <rFont val="Arial"/>
        <family val="2"/>
        <charset val="204"/>
      </rPr>
      <t>спо</t>
    </r>
  </si>
  <si>
    <t>объем (количество единиц) оказания государственной услуги по организации представления среднего профессионального образования  в очередном финансовом году.</t>
  </si>
  <si>
    <r>
      <t xml:space="preserve">Z </t>
    </r>
    <r>
      <rPr>
        <b/>
        <i/>
        <sz val="8"/>
        <color indexed="8"/>
        <rFont val="Arial"/>
        <family val="2"/>
        <charset val="204"/>
      </rPr>
      <t>очер_спо_ку</t>
    </r>
    <r>
      <rPr>
        <b/>
        <sz val="11"/>
        <color indexed="8"/>
        <rFont val="Arial"/>
        <family val="2"/>
        <charset val="204"/>
      </rPr>
      <t xml:space="preserve">  </t>
    </r>
    <r>
      <rPr>
        <b/>
        <i/>
        <sz val="8"/>
        <color indexed="8"/>
        <rFont val="Arial"/>
        <family val="2"/>
        <charset val="204"/>
      </rPr>
      <t>=</t>
    </r>
  </si>
  <si>
    <t>лимит потребления холодной воды в натуральных показателях, рассчитанный в отчетном году на единицу объема государственной услуги;</t>
  </si>
  <si>
    <t>лимит потребления горячей воды в натуральных показателях, рассчитанный в отчетном году на единицу объема государственной услуги;</t>
  </si>
  <si>
    <t>лимит потребления тепловой энергии в натуральных показателях, рассчитанный в отчетном году на единицу объема государственной услуги;</t>
  </si>
  <si>
    <t>лимит потребления электрической энергии в натуральных показателях, рассчитанный в отчетном году на единицу объема государственной услуги;</t>
  </si>
  <si>
    <t>средневзвешенный тариф на холодное водоснабжение и водоотведение на очередной финансовый год;</t>
  </si>
  <si>
    <t>средневзвешенный тариф на горячее водоснабжение на очередной финансовый год;</t>
  </si>
  <si>
    <t>средневзвешенный тариф на теплоснабжение на очередной финансовый год;</t>
  </si>
  <si>
    <t>средневзвешенный тариф на электроснабжение на очередной финансовый год;</t>
  </si>
  <si>
    <t>объем (количество единиц) оказания государственной услуги по организации представления среднего профессионального образования в очередном финансовом году;</t>
  </si>
  <si>
    <r>
      <t>k</t>
    </r>
    <r>
      <rPr>
        <sz val="7"/>
        <color indexed="8"/>
        <rFont val="Times New Roman"/>
        <family val="1"/>
        <charset val="204"/>
      </rPr>
      <t>спо</t>
    </r>
  </si>
  <si>
    <t>Расшифровка расходов по прочим расходам                                                                                               " Стипендия"                                                                                                                                                      ГБОУ СПО СО "Екатеринбургского монтажного колледжа"                                                                                                                              ПО СМЕТЕ РАСХОДОВ НА 2012 ГОД  по коду 07044270000001290</t>
  </si>
  <si>
    <t>Стипендия</t>
  </si>
  <si>
    <t>Недофинсирование из бюджета</t>
  </si>
  <si>
    <t>3334775,00 -2895885,00 =</t>
  </si>
  <si>
    <r>
      <t xml:space="preserve">Материальная помощь студентам и учащимся                                                                          </t>
    </r>
    <r>
      <rPr>
        <u/>
        <sz val="10"/>
        <rFont val="Arial Cyr"/>
        <charset val="204"/>
      </rPr>
      <t>Расчет</t>
    </r>
    <r>
      <rPr>
        <sz val="11"/>
        <color theme="1"/>
        <rFont val="Calibri"/>
        <family val="2"/>
        <charset val="204"/>
        <scheme val="minor"/>
      </rPr>
      <t xml:space="preserve"> : 10 % от стипендии 3 334 775, 00 руб.</t>
    </r>
  </si>
  <si>
    <t>333 478,00 - 289 588,50 =</t>
  </si>
  <si>
    <r>
      <t xml:space="preserve">Материальная помощь студентам и учащимся                                                                          </t>
    </r>
    <r>
      <rPr>
        <u/>
        <sz val="10"/>
        <rFont val="Arial"/>
        <family val="2"/>
        <charset val="204"/>
      </rPr>
      <t>Расчет</t>
    </r>
    <r>
      <rPr>
        <sz val="10"/>
        <color indexed="8"/>
        <rFont val="Arial"/>
        <family val="2"/>
        <charset val="204"/>
      </rPr>
      <t xml:space="preserve"> : 10 % от стипендии 2 895 885 руб.</t>
    </r>
  </si>
  <si>
    <t>Расшифровка расходов по социальной помощи населению                                                            (Проезд, одежда, обувь, литература, письменные принадлежности)                                                        ГБОУ СПО СО "Екатеринбургского монтажного колледжа"                                                                     по СМЕТЕ РАСХОДОВ НА 2012 ГОД по коду 07044270000001262/000004</t>
  </si>
  <si>
    <t>Расшифровка расходов по социальной помощи населению                                                     (Проезд, одежда, обувь, литература, письменные принадлежности)                                                                   ГБОУ СПО СО "Екатеринбургского монтажного колледжа"                                                                 по СМЕТЕ РАСХОДОВ НА 2012 ГОД по коду 07044270000001262/000004</t>
  </si>
  <si>
    <t>844 428,00 - 764 190,00 =</t>
  </si>
  <si>
    <t>Расшифровка расходов по социальной помощи населению                                            (Питание)                                                                                                                                                         ГБОУ СПО СО "Екатеринбургского монтажного колледжа"                                                                            по СМЕТЕ РАСХОДОВ НА 2012 ГОД по коду 07044270000001262/000002</t>
  </si>
  <si>
    <t>Средневзвешенный тариф на очередной финансовый год для холодного водоснабжения и водоотведения может определяться по следующей формуле:</t>
  </si>
  <si>
    <t>тариф на холодное водоснабжение и водоотведение в отчетном финансовом году;</t>
  </si>
  <si>
    <t>коэффициент изменения тарифов на коммунальные услуги в очередном финансовом году.</t>
  </si>
  <si>
    <t>Средневзвешенный тариф на очередной финансовый год для горячего водоснабжения может определяться по следующей формуле:</t>
  </si>
  <si>
    <r>
      <t>х</t>
    </r>
    <r>
      <rPr>
        <i/>
        <sz val="11"/>
        <color indexed="8"/>
        <rFont val="Arial"/>
        <family val="2"/>
        <charset val="204"/>
      </rPr>
      <t xml:space="preserve"> i </t>
    </r>
    <r>
      <rPr>
        <sz val="11"/>
        <color indexed="8"/>
        <rFont val="Arial"/>
        <family val="2"/>
        <charset val="204"/>
      </rPr>
      <t>, где :</t>
    </r>
  </si>
  <si>
    <t>тариф на горячее водоснабжение в отчетном финансовом году;</t>
  </si>
  <si>
    <t>Средневзвешенный тариф на очередной финансовый год для теплоснабжения может определяться по следующей формуле:</t>
  </si>
  <si>
    <t>средневзвешенный тариф на теплоснабжение в очередном финансовом году;</t>
  </si>
  <si>
    <t>тариф на теплоснабжение в отчетном финансовом году;</t>
  </si>
  <si>
    <t>Средневзвешенный тариф на очередной финансовый год для электроснабжения может определяться по следующей формуле:</t>
  </si>
  <si>
    <t>тариф на электроснабжение в отчетном финансовом году;</t>
  </si>
  <si>
    <t xml:space="preserve">Подразделение "21" </t>
  </si>
  <si>
    <t>На ремонт вычислительной техники                               (ООО ТК "Райдо-Сервис")</t>
  </si>
  <si>
    <t>Приобретение канцтоваров                                              (ООО "Кристал -СК" Чкаловское отделение)</t>
  </si>
  <si>
    <t>Приобретение чистящих и моющих средств                     (ООО "Торговая компания Хим и Ко")</t>
  </si>
  <si>
    <t>Приобретение одноразовой посуды                           (ЗАО "Радтехмаш ")</t>
  </si>
  <si>
    <t>Норматив затрат на содержание объектов особо ценного движимого имущества и недвижимого имущества, эксплуатируемого в процессе оказания государственных услуг, для государственной услуги по организации представления среднего профессионального образования (G си(гу) рассчитывается по формуле:</t>
  </si>
  <si>
    <t>норматив затрат на содержание объектов особо ценного движимого имущества и недвижимого имущества в текущем году;</t>
  </si>
  <si>
    <t>коэффициент индексации расходов на содержание особо ценного движимого имущества и недвижимого имущества в части оказания государственной услуги.</t>
  </si>
  <si>
    <t>нормативные затраты на арендную плату для государственной услуги по организации представления среднего профессионального образования в очередном финансовом году.</t>
  </si>
  <si>
    <t>норматив затрат на приобретение услуг связи в текущем году;</t>
  </si>
  <si>
    <t xml:space="preserve">коэффициент индексации расходов на  приобретение услуг связи </t>
  </si>
  <si>
    <r>
      <t xml:space="preserve">G </t>
    </r>
    <r>
      <rPr>
        <b/>
        <i/>
        <sz val="8"/>
        <color indexed="8"/>
        <rFont val="Arial"/>
        <family val="2"/>
        <charset val="204"/>
      </rPr>
      <t>транспорт</t>
    </r>
  </si>
  <si>
    <r>
      <t xml:space="preserve">Расчет нормативных затрат на оплату коммунальных услуг для государственной услуги по организации представления среднего профессионального образования (Z </t>
    </r>
    <r>
      <rPr>
        <b/>
        <i/>
        <sz val="8"/>
        <color indexed="8"/>
        <rFont val="Arial"/>
        <family val="2"/>
        <charset val="204"/>
      </rPr>
      <t>очер_спо_ку</t>
    </r>
    <r>
      <rPr>
        <b/>
        <sz val="10"/>
        <color indexed="8"/>
        <rFont val="Arial"/>
        <family val="2"/>
        <charset val="204"/>
      </rPr>
      <t>) производится по формуле:</t>
    </r>
  </si>
  <si>
    <t>3.Норматив затрат на приобретение услуг связи для государственной услуги по организации представления среднего профессионального образования (G связь) опеределяется по формуле:</t>
  </si>
  <si>
    <t>18.01.2012 г.</t>
  </si>
  <si>
    <r>
      <t xml:space="preserve">4.Норматив затрат на приобретение транспортных услуг для государственной услуги (G </t>
    </r>
    <r>
      <rPr>
        <b/>
        <i/>
        <sz val="10"/>
        <color indexed="8"/>
        <rFont val="Arial"/>
        <family val="2"/>
        <charset val="204"/>
      </rPr>
      <t>трансп</t>
    </r>
    <r>
      <rPr>
        <b/>
        <sz val="10"/>
        <color indexed="8"/>
        <rFont val="Arial"/>
        <family val="2"/>
        <charset val="204"/>
      </rPr>
      <t>) определяется по формуле:</t>
    </r>
  </si>
  <si>
    <t>норматив затрат на приобретение транспортных услуг в текущем году;</t>
  </si>
  <si>
    <t xml:space="preserve">коэффициент индексации расходов на  приобретение транспортных услуг </t>
  </si>
  <si>
    <t>Норматив затрат на оплату труда, включая начисления на оплату труда работников учреждения, которые не принимают непосредственного участия в оказании государственной услуги ( G нпо) рассчитывается по следующей формуле:</t>
  </si>
  <si>
    <t>нормативные затраты на фонд оплаты труда административно- управленческого, административно-хозяйственного, вспомогательного и иного персонала для государственной услуги в очередном финансовом году;</t>
  </si>
  <si>
    <t>объем (количество единиц) оказания государственной услуги по организации представления среднего профессионального образования в очередном финансовом году.</t>
  </si>
  <si>
    <t>мастера</t>
  </si>
  <si>
    <t>Классное руководство</t>
  </si>
  <si>
    <t>Проверка письменных работ</t>
  </si>
  <si>
    <t>Заведование кабинетом</t>
  </si>
  <si>
    <t>Заведование лабораторией,мастерскими, отделами</t>
  </si>
  <si>
    <t>Руководство методическими объединениями и рабочими группами</t>
  </si>
  <si>
    <t xml:space="preserve">Минимальные должностные оклады (ставки заработной платы) </t>
  </si>
  <si>
    <t>Доплаты компенсационного характера</t>
  </si>
  <si>
    <t>За работу в группах повышенного уровня</t>
  </si>
  <si>
    <t>15 % от ставки</t>
  </si>
  <si>
    <t>За звание</t>
  </si>
  <si>
    <t>Стимулирующая</t>
  </si>
  <si>
    <t>За работу с вредными условиями труда</t>
  </si>
  <si>
    <t>За работу в ночное время</t>
  </si>
  <si>
    <t>30 % от оклада</t>
  </si>
  <si>
    <t>Свод заработной платы труда в месяц (повышенный уровень )</t>
  </si>
  <si>
    <t>Свод заработной платы труда в месяц (базовый уровень )</t>
  </si>
  <si>
    <t>за год</t>
  </si>
  <si>
    <t>за 6 мес</t>
  </si>
  <si>
    <t xml:space="preserve">% ставки </t>
  </si>
  <si>
    <t>Компенсация за вредные условия труда декабрь 2011г.</t>
  </si>
  <si>
    <t>№</t>
  </si>
  <si>
    <t>Ф.И.О.</t>
  </si>
  <si>
    <t>Должность</t>
  </si>
  <si>
    <t>Минимальный должностной оклад</t>
  </si>
  <si>
    <t>Фактически отработанное время за 4кв. 2010г.</t>
  </si>
  <si>
    <t>Фактические дни в месяце</t>
  </si>
  <si>
    <t>Оценка условий труда</t>
  </si>
  <si>
    <t>Размер компенсации, %</t>
  </si>
  <si>
    <t>Сумма компенсации</t>
  </si>
  <si>
    <t>Дополнителльный отпуск дни</t>
  </si>
  <si>
    <t xml:space="preserve">Культурно-массовая и оздоровительная работа для детей-сирот                   </t>
  </si>
  <si>
    <t>23.07.2012 г.</t>
  </si>
  <si>
    <t>Продолжительность рабочей недели</t>
  </si>
  <si>
    <t>ИТОГО компенсация бюджет</t>
  </si>
  <si>
    <t>ВСЕГО компенсации</t>
  </si>
  <si>
    <t>За вредность</t>
  </si>
  <si>
    <t>Ханин А.В.</t>
  </si>
  <si>
    <t>Шнейдмиллер Ф.И.</t>
  </si>
  <si>
    <t>Зам. директора по УР</t>
  </si>
  <si>
    <t>Комиссарова Г.В.</t>
  </si>
  <si>
    <t>Зам. директора по СПР</t>
  </si>
  <si>
    <t>Мухлынин А.В.</t>
  </si>
  <si>
    <t>Начальник ВЦ</t>
  </si>
  <si>
    <t>Кинзикеев Р.Х.</t>
  </si>
  <si>
    <t>Зам.директора по АХЧ</t>
  </si>
  <si>
    <t>Горохова Т.В.</t>
  </si>
  <si>
    <t>Роев И.Л.</t>
  </si>
  <si>
    <t>Руководитель автокурсов</t>
  </si>
  <si>
    <t>Сайфутдинова Ф.М.</t>
  </si>
  <si>
    <t>Специалист по кадрам</t>
  </si>
  <si>
    <t>Ческидова С.А.</t>
  </si>
  <si>
    <t>Зав.канцелярией</t>
  </si>
  <si>
    <t>Кедровских Е.Ю.</t>
  </si>
  <si>
    <t>Бухгалтер</t>
  </si>
  <si>
    <t>Фархутдинова С.З.</t>
  </si>
  <si>
    <t>Старший кассир</t>
  </si>
  <si>
    <t>Садовская И.А.</t>
  </si>
  <si>
    <t>Зам.главного бухгалтера</t>
  </si>
  <si>
    <t>Шаповалова О.А.</t>
  </si>
  <si>
    <t>Зкономист по БУ и АХД</t>
  </si>
  <si>
    <t>Боровлева А.А.</t>
  </si>
  <si>
    <t>Демин С.В.</t>
  </si>
  <si>
    <t>Техник ВЦ 2 категории</t>
  </si>
  <si>
    <t>Летнева Л.Ф.</t>
  </si>
  <si>
    <t>Фазлыева Т.В.</t>
  </si>
  <si>
    <t>Зав. Общежитием</t>
  </si>
  <si>
    <t>Семенов В.В.</t>
  </si>
  <si>
    <t>инженер по ремонту</t>
  </si>
  <si>
    <t>Копырин А.Н.</t>
  </si>
  <si>
    <t>слесарь-сантехник</t>
  </si>
  <si>
    <t>Кононов А.П.</t>
  </si>
  <si>
    <t>главный энергетик</t>
  </si>
  <si>
    <t>Дербышева В.П.</t>
  </si>
  <si>
    <t>зав.складом</t>
  </si>
  <si>
    <t>Черногубова Л.В.</t>
  </si>
  <si>
    <t>фельдшер</t>
  </si>
  <si>
    <t>Кольцова Т. В.</t>
  </si>
  <si>
    <t>начальник хоз.отдела</t>
  </si>
  <si>
    <t>Комарова Т.В.</t>
  </si>
  <si>
    <t>зав.производством</t>
  </si>
  <si>
    <t>Журавлева С.П.</t>
  </si>
  <si>
    <t>повар хол.цеха</t>
  </si>
  <si>
    <t>повар гор.цеха</t>
  </si>
  <si>
    <t>пекарь</t>
  </si>
  <si>
    <t>Гриценко Г.С.</t>
  </si>
  <si>
    <t>сторож</t>
  </si>
  <si>
    <t>Жорян Т.Т.</t>
  </si>
  <si>
    <t xml:space="preserve">Вахрушева Н.П. </t>
  </si>
  <si>
    <t>Вольхина А.Г.</t>
  </si>
  <si>
    <t>Марышева И.Л.</t>
  </si>
  <si>
    <t>мойщица посуды</t>
  </si>
  <si>
    <t>Назарова И.А.</t>
  </si>
  <si>
    <t>зав.отделением</t>
  </si>
  <si>
    <t>Земова З.Б.</t>
  </si>
  <si>
    <t>Зырянова Е.В.</t>
  </si>
  <si>
    <t>Перфилова Т.В.</t>
  </si>
  <si>
    <t>зав.методкабинетом</t>
  </si>
  <si>
    <t>Данилюк Л.Г.</t>
  </si>
  <si>
    <t>секретарь уч. Части</t>
  </si>
  <si>
    <t>Озорнина С.Г.</t>
  </si>
  <si>
    <t>методист</t>
  </si>
  <si>
    <t>Байнова Т.Н.</t>
  </si>
  <si>
    <t>библиотекарь</t>
  </si>
  <si>
    <t>Телегина Н.И.</t>
  </si>
  <si>
    <t>зав.бибилиотекой</t>
  </si>
  <si>
    <t>Шлыкова В.В.</t>
  </si>
  <si>
    <t>Чуганова Н.В.</t>
  </si>
  <si>
    <t>Рябкова В.Е.</t>
  </si>
  <si>
    <t>диспетчер образоват.учреждения</t>
  </si>
  <si>
    <t>Хоринова Л.С.</t>
  </si>
  <si>
    <t>Деньщикова Н.И.</t>
  </si>
  <si>
    <t>Белянина Н.Д.</t>
  </si>
  <si>
    <t>Гребнев А.В</t>
  </si>
  <si>
    <t>старший мастер</t>
  </si>
  <si>
    <t>Чечулин И.А.</t>
  </si>
  <si>
    <t>мастер п/о</t>
  </si>
  <si>
    <t>Зырянова О.А.</t>
  </si>
  <si>
    <t>преподаватель</t>
  </si>
  <si>
    <t>Ушакова Т.А.</t>
  </si>
  <si>
    <t>Мосова В.Е.</t>
  </si>
  <si>
    <t>Юдакова Н.С.</t>
  </si>
  <si>
    <t>Важенина Л.А.</t>
  </si>
  <si>
    <t>Костомарова Г.В.</t>
  </si>
  <si>
    <t>Быстрова Л.Ф.</t>
  </si>
  <si>
    <t>Гарбузов И.С.</t>
  </si>
  <si>
    <t>Морданова Е.С.</t>
  </si>
  <si>
    <t>Усанова Л.В.</t>
  </si>
  <si>
    <t>Подразделение "15" (К возмещению по внебюджету за Урал ВЭС)</t>
  </si>
  <si>
    <t>Рябова Т.П.</t>
  </si>
  <si>
    <t>Ляпко В.Г.</t>
  </si>
  <si>
    <t>Грибова А.В.</t>
  </si>
  <si>
    <t>Ершов П.А.</t>
  </si>
  <si>
    <t>Иванова Л.В.</t>
  </si>
  <si>
    <t>Королева О.И.</t>
  </si>
  <si>
    <t>Рябкова Л.Ю.</t>
  </si>
  <si>
    <t>Пономарева Е.К.</t>
  </si>
  <si>
    <t>Маций Н.С.</t>
  </si>
  <si>
    <r>
      <t xml:space="preserve">Потребление электрической  энергии по государственному контракту № 510 от 01.01.2012г.                                                                  </t>
    </r>
    <r>
      <rPr>
        <b/>
        <sz val="10"/>
        <color indexed="8"/>
        <rFont val="Arial"/>
        <family val="2"/>
        <charset val="204"/>
      </rPr>
      <t>ОАО "Екатеринбургэнергосбыт" в т.ч.:</t>
    </r>
  </si>
  <si>
    <t>Сыролева Т.В.</t>
  </si>
  <si>
    <t>Бармина Г.В.</t>
  </si>
  <si>
    <t>Залазинская Л.А.</t>
  </si>
  <si>
    <t>Волков А.Б,</t>
  </si>
  <si>
    <t>Борзенков В.А.</t>
  </si>
  <si>
    <t>Гребнева Л.Е.</t>
  </si>
  <si>
    <t>Швецова О.А</t>
  </si>
  <si>
    <t>Захаров В.В.</t>
  </si>
  <si>
    <t xml:space="preserve">Подразделение "24"                         </t>
  </si>
  <si>
    <t>Шапран А.А.</t>
  </si>
  <si>
    <t>Яковлев В.П.</t>
  </si>
  <si>
    <t>Селезнева Н.П.</t>
  </si>
  <si>
    <t>Вахрушева Г.С.</t>
  </si>
  <si>
    <t>Расина И.И.</t>
  </si>
  <si>
    <t>Дорожкина Л.М.</t>
  </si>
  <si>
    <t>Кудинов Е.В.</t>
  </si>
  <si>
    <t>Казачинская Т.Б.</t>
  </si>
  <si>
    <t>Гончаренко А.Н.</t>
  </si>
  <si>
    <t>Сметанин Н.Ф.</t>
  </si>
  <si>
    <t>Чертищева Н.Г.</t>
  </si>
  <si>
    <t>Софьина Н.А.</t>
  </si>
  <si>
    <t>Трубачева А.В.</t>
  </si>
  <si>
    <t>Малков А.В.</t>
  </si>
  <si>
    <t>Журавлева О.А.</t>
  </si>
  <si>
    <t>Костарева Н.В.</t>
  </si>
  <si>
    <t>Надточий Р.А.</t>
  </si>
  <si>
    <t>Вербовецкая А.М.</t>
  </si>
  <si>
    <t>Ковина О.И.</t>
  </si>
  <si>
    <t>05.06.2012 г.</t>
  </si>
  <si>
    <t xml:space="preserve">Подразделение "15"                                                               (ремонт актового зала)                       </t>
  </si>
  <si>
    <t>Розанова Н.В.</t>
  </si>
  <si>
    <t>Гаврюшев Л.П.</t>
  </si>
  <si>
    <t>Панов Л.А.</t>
  </si>
  <si>
    <t>Булыгина Т.И.</t>
  </si>
  <si>
    <t>Шевелева Н.А.</t>
  </si>
  <si>
    <t>Шкляев</t>
  </si>
  <si>
    <t>Горохова Е.К.</t>
  </si>
  <si>
    <t xml:space="preserve">Техник ВЦ </t>
  </si>
  <si>
    <t>Сергеев А.В.</t>
  </si>
  <si>
    <t>Лаборант</t>
  </si>
  <si>
    <t>Воробьев А.В.</t>
  </si>
  <si>
    <t>УВП</t>
  </si>
  <si>
    <t>Всего необходимо</t>
  </si>
  <si>
    <t>пед.работники</t>
  </si>
  <si>
    <t>Уральский коэф.</t>
  </si>
  <si>
    <t>служащие</t>
  </si>
  <si>
    <t>мед.работник</t>
  </si>
  <si>
    <t>ЕСН 34,2%</t>
  </si>
  <si>
    <t>работники культуры</t>
  </si>
  <si>
    <t>рабочие</t>
  </si>
  <si>
    <t>преподаватели</t>
  </si>
  <si>
    <t>норматив затрат на фонд оплаты труда административно-управленческого, административно-хозяйственного, вспомогательного и иного персонала (без учета фонда оплаты труда административно-управленческого, административно-хозяйственного, вспомогательного и иного персонала) в текущем финансовом году  для государственной услуги;</t>
  </si>
  <si>
    <t>Халат медицинский</t>
  </si>
  <si>
    <t>Сотрудники</t>
  </si>
  <si>
    <t>Расшифровка расходов за услуги связи ГБОУ СПО СО "Екатеринбургского монтажного колледжа" по СМЕТЕ РАСХОДОВ НА 2012 ГОД по коду 221</t>
  </si>
  <si>
    <t>Расшифровка расходов по транспортным услугам ГБОУ СПО СО "Екатеринбургского монтажного колледжа" по СМЕТЕ РАСХОДОВ НА 2012 ГОД  по коду 222</t>
  </si>
  <si>
    <t xml:space="preserve">Восстановление целостности потолков в общежитии (Подразделение "15" ) </t>
  </si>
  <si>
    <t>Расшифровка расходов за услуги по содержанию имущества ГБОУ СПО СО "Екатеринбургского монтажного колледжа" по СМЕТЕ РАСХОДОВ НА 2012 ГОД по коду 225</t>
  </si>
  <si>
    <t>Расшифровка расходов по прочим выплатам ГБОУ СПО СО "Екатеринбургского монтажного колледжа" по СМЕТЕ РАСХОДОВ НА 2012 ГОД по коду 226</t>
  </si>
  <si>
    <t>Программное обеспечение                                              ( AUTOCAD/ ADOBE PHOTOSHOP)</t>
  </si>
  <si>
    <t>Расшифровка расходов по прочим расходам (Земельный налог)ГБОУ СПО СО "Екатеринбургского монтажного колледжа" по СМЕТЕ РАСХОДОВ НА 2012 ГОД по коду 290</t>
  </si>
  <si>
    <t>Столы ученические (90 шт.)</t>
  </si>
  <si>
    <t>Стулья ученические (180шт.)</t>
  </si>
  <si>
    <t xml:space="preserve">Приобретение жалюзей для колледжа </t>
  </si>
  <si>
    <t xml:space="preserve">Проектор </t>
  </si>
  <si>
    <t>Халат (6 шт.)</t>
  </si>
  <si>
    <t>Колпак поварской (6 шт.)</t>
  </si>
  <si>
    <t>Фартук клеёнка (4 шт.)</t>
  </si>
  <si>
    <t>Фартук обычный (6 шт.)</t>
  </si>
  <si>
    <t>Расшифровка расходов по увеличению стоимости материальных запасов ГБОУ СПО СО "Екатеринбургского монтажного колледжа" по СМЕТЕ РАСХОДОВ НА 2012 ГОД по коду 340</t>
  </si>
  <si>
    <t>АУПиУВП</t>
  </si>
  <si>
    <t>Подразделения</t>
  </si>
  <si>
    <t>Расшифровка расходов по заработной плате ГБОУ СПО СО "Екатеринбургского монтажного колледжа" по СМЕТЕ РАСХОДОВ НА 2012 ГОД по коду 211</t>
  </si>
  <si>
    <t>Расшифровка расходов по заработной плате ГБОУ СПО СО "Екатеринбургского монтажного колледжа" по СМЕТЕ РАСХОДОВ НА 2012 ГОД по коду 213</t>
  </si>
  <si>
    <t>Преподаватели  повышенного уровня (11686 часов),              включая мастеров</t>
  </si>
  <si>
    <t>Преподаватели базового уровня (48602 часов),                           включая мастеров</t>
  </si>
  <si>
    <t>ИТОГО:</t>
  </si>
  <si>
    <t>коэффициент индексации расходов на фонд оплаты труда административно-управленческого, административно-хозяйственного, вспомогательного и иного персонала;</t>
  </si>
  <si>
    <t>коэффициент изменения площадей учреждения в очередном финансовом году по сравнению с отчетным финансовом годом. Коэффициент изменения площадей учреждения в очередном финансовом году по сравнению с отчетным финансовым годом рассчитывается по следующей формуле:</t>
  </si>
  <si>
    <t>площадь учебных зданий и общежитий на 1 января очередного финансового года;</t>
  </si>
  <si>
    <t>площадь учебных зданий и общежитий, вводимых в очередном финансовом году;</t>
  </si>
  <si>
    <t>площадь учебных зданий и общежитий на 1 января отчетного финансового года;</t>
  </si>
  <si>
    <t>площадь учебных зданий и общежитий, введенных в отчетном финансовом году;</t>
  </si>
  <si>
    <t>количество месяцев в очередном финансовом году, в течение которых функционировали введенные площади учебных зданий и общежитий;</t>
  </si>
  <si>
    <t xml:space="preserve">Свод заработной платы труда в месяц </t>
  </si>
  <si>
    <t xml:space="preserve">Итого по основному персоналу </t>
  </si>
  <si>
    <t xml:space="preserve">Итого работников прочих </t>
  </si>
  <si>
    <t xml:space="preserve">Преподаватели </t>
  </si>
  <si>
    <t>количество месяцев в отчетном финансовом году, в течение которых функционировали введенные площади учебных зданий и общежитий.</t>
  </si>
  <si>
    <t>n</t>
  </si>
  <si>
    <t>m</t>
  </si>
  <si>
    <r>
      <t xml:space="preserve">S </t>
    </r>
    <r>
      <rPr>
        <b/>
        <sz val="8"/>
        <color indexed="8"/>
        <rFont val="Arial"/>
        <family val="2"/>
        <charset val="204"/>
      </rPr>
      <t>очер</t>
    </r>
  </si>
  <si>
    <r>
      <t xml:space="preserve">S </t>
    </r>
    <r>
      <rPr>
        <b/>
        <i/>
        <sz val="8"/>
        <color indexed="8"/>
        <rFont val="Arial"/>
        <family val="2"/>
        <charset val="204"/>
      </rPr>
      <t>ввод_очер</t>
    </r>
  </si>
  <si>
    <r>
      <t xml:space="preserve">S </t>
    </r>
    <r>
      <rPr>
        <b/>
        <i/>
        <sz val="8"/>
        <color indexed="8"/>
        <rFont val="Arial"/>
        <family val="2"/>
        <charset val="204"/>
      </rPr>
      <t>отчетн</t>
    </r>
  </si>
  <si>
    <r>
      <t xml:space="preserve">S </t>
    </r>
    <r>
      <rPr>
        <b/>
        <i/>
        <sz val="8"/>
        <color indexed="8"/>
        <rFont val="Arial"/>
        <family val="2"/>
        <charset val="204"/>
      </rPr>
      <t>ввод_отчетн</t>
    </r>
  </si>
  <si>
    <r>
      <t xml:space="preserve">Норматив затрат на прочие общехозяйственные нужды для государственной услуги ( G </t>
    </r>
    <r>
      <rPr>
        <b/>
        <i/>
        <sz val="8"/>
        <color indexed="8"/>
        <rFont val="Arial"/>
        <family val="2"/>
        <charset val="204"/>
      </rPr>
      <t>пр-спо</t>
    </r>
    <r>
      <rPr>
        <b/>
        <sz val="10"/>
        <color indexed="8"/>
        <rFont val="Arial"/>
        <family val="2"/>
        <charset val="204"/>
      </rPr>
      <t>) рассчитывается по формуле:</t>
    </r>
  </si>
  <si>
    <t>нормативные затраты на компенсации на обеспечение педагогических работников книгоиздательской продукцией и периодическими изданиями для государственной услуги в очередном финансовом году;</t>
  </si>
  <si>
    <t>нормативные затраты на оплату услуг по прохождению студентами педагогических колледжей педагогической практики;</t>
  </si>
  <si>
    <t>объем (количество единиц) оказания государственной услуги в очередном финансовом году.</t>
  </si>
  <si>
    <t>Расчет нормативных затрат на оплату коммунальных услуг производится по следующей формуле:</t>
  </si>
  <si>
    <t>нормативные затраты на оплату коммунальных услуг в очередном году, учитываемые в части затрат на содержание имущества;</t>
  </si>
  <si>
    <t>лимит потребления тепловой энергии  в натуральных показателях, утвержденный на очередной финансовый год;</t>
  </si>
  <si>
    <t xml:space="preserve">лимит потребления электрической энергии в натуральных показателях, утвержденный на очередной финансовый год; </t>
  </si>
  <si>
    <t>Нормативные затраты на содержание имущества для учреждения в очередном финансовом году рассчитываются по формуле:</t>
  </si>
  <si>
    <t>нормативные затраты на выплату налогов учреждением в очередном финансовом году;</t>
  </si>
  <si>
    <t>нормативные затраты на оплату коммунальных услуг в очередном финансовом году, учитываемых в составе расходов на содержание имущества учреждения.</t>
  </si>
  <si>
    <r>
      <t xml:space="preserve">t </t>
    </r>
    <r>
      <rPr>
        <b/>
        <i/>
        <sz val="8"/>
        <color indexed="8"/>
        <rFont val="Arial"/>
        <family val="2"/>
        <charset val="204"/>
      </rPr>
      <t>очер_хол.вода</t>
    </r>
    <r>
      <rPr>
        <b/>
        <sz val="10"/>
        <color indexed="8"/>
        <rFont val="Arial"/>
        <family val="2"/>
        <charset val="204"/>
      </rPr>
      <t>=</t>
    </r>
  </si>
  <si>
    <r>
      <t xml:space="preserve">t </t>
    </r>
    <r>
      <rPr>
        <b/>
        <i/>
        <sz val="10"/>
        <color indexed="8"/>
        <rFont val="Arial"/>
        <family val="2"/>
        <charset val="204"/>
      </rPr>
      <t>очер_гор.вода=</t>
    </r>
  </si>
  <si>
    <r>
      <t xml:space="preserve">t </t>
    </r>
    <r>
      <rPr>
        <b/>
        <i/>
        <sz val="8"/>
        <color indexed="8"/>
        <rFont val="Arial"/>
        <family val="2"/>
        <charset val="204"/>
      </rPr>
      <t>очер_тепло</t>
    </r>
    <r>
      <rPr>
        <b/>
        <sz val="11"/>
        <color indexed="8"/>
        <rFont val="Arial"/>
        <family val="2"/>
        <charset val="204"/>
      </rPr>
      <t>=</t>
    </r>
  </si>
  <si>
    <r>
      <t xml:space="preserve">t </t>
    </r>
    <r>
      <rPr>
        <b/>
        <i/>
        <sz val="8"/>
        <color indexed="8"/>
        <rFont val="Arial"/>
        <family val="2"/>
        <charset val="204"/>
      </rPr>
      <t>очер_электр</t>
    </r>
    <r>
      <rPr>
        <sz val="11"/>
        <color indexed="8"/>
        <rFont val="Arial"/>
        <family val="2"/>
        <charset val="204"/>
      </rPr>
      <t>=</t>
    </r>
  </si>
  <si>
    <r>
      <t xml:space="preserve">(R </t>
    </r>
    <r>
      <rPr>
        <b/>
        <i/>
        <sz val="8"/>
        <color indexed="8"/>
        <rFont val="Arial"/>
        <family val="2"/>
        <charset val="204"/>
      </rPr>
      <t>хол.вода</t>
    </r>
    <r>
      <rPr>
        <b/>
        <sz val="10"/>
        <color indexed="8"/>
        <rFont val="Arial"/>
        <family val="2"/>
        <charset val="204"/>
      </rPr>
      <t xml:space="preserve"> x t </t>
    </r>
    <r>
      <rPr>
        <b/>
        <i/>
        <sz val="8"/>
        <color indexed="8"/>
        <rFont val="Arial"/>
        <family val="2"/>
        <charset val="204"/>
      </rPr>
      <t>очер_хол.вода</t>
    </r>
    <r>
      <rPr>
        <b/>
        <sz val="10"/>
        <color indexed="8"/>
        <rFont val="Arial"/>
        <family val="2"/>
        <charset val="204"/>
      </rPr>
      <t xml:space="preserve"> +R </t>
    </r>
    <r>
      <rPr>
        <b/>
        <i/>
        <sz val="8"/>
        <color indexed="8"/>
        <rFont val="Arial"/>
        <family val="2"/>
        <charset val="204"/>
      </rPr>
      <t>гор.вода</t>
    </r>
    <r>
      <rPr>
        <b/>
        <sz val="10"/>
        <color indexed="8"/>
        <rFont val="Arial"/>
        <family val="2"/>
        <charset val="204"/>
      </rPr>
      <t xml:space="preserve"> х t</t>
    </r>
    <r>
      <rPr>
        <b/>
        <i/>
        <sz val="8"/>
        <color indexed="8"/>
        <rFont val="Arial"/>
        <family val="2"/>
        <charset val="204"/>
      </rPr>
      <t xml:space="preserve"> гор.вода+</t>
    </r>
    <r>
      <rPr>
        <b/>
        <sz val="10"/>
        <color indexed="8"/>
        <rFont val="Arial"/>
        <family val="2"/>
        <charset val="204"/>
      </rPr>
      <t>0,5 х R</t>
    </r>
    <r>
      <rPr>
        <b/>
        <i/>
        <sz val="8"/>
        <color indexed="8"/>
        <rFont val="Arial"/>
        <family val="2"/>
        <charset val="204"/>
      </rPr>
      <t xml:space="preserve"> тепло</t>
    </r>
    <r>
      <rPr>
        <b/>
        <sz val="10"/>
        <color indexed="8"/>
        <rFont val="Arial"/>
        <family val="2"/>
        <charset val="204"/>
      </rPr>
      <t xml:space="preserve"> х t </t>
    </r>
    <r>
      <rPr>
        <b/>
        <i/>
        <sz val="8"/>
        <color indexed="8"/>
        <rFont val="Arial"/>
        <family val="2"/>
        <charset val="204"/>
      </rPr>
      <t>очер_тепло</t>
    </r>
    <r>
      <rPr>
        <b/>
        <sz val="10"/>
        <color indexed="8"/>
        <rFont val="Arial"/>
        <family val="2"/>
        <charset val="204"/>
      </rPr>
      <t xml:space="preserve"> + 0,9 х R </t>
    </r>
    <r>
      <rPr>
        <b/>
        <i/>
        <sz val="8"/>
        <color indexed="8"/>
        <rFont val="Arial"/>
        <family val="2"/>
        <charset val="204"/>
      </rPr>
      <t>элект</t>
    </r>
    <r>
      <rPr>
        <b/>
        <sz val="10"/>
        <color indexed="8"/>
        <rFont val="Arial"/>
        <family val="2"/>
        <charset val="204"/>
      </rPr>
      <t xml:space="preserve">.х t </t>
    </r>
    <r>
      <rPr>
        <b/>
        <i/>
        <sz val="8"/>
        <color indexed="8"/>
        <rFont val="Arial"/>
        <family val="2"/>
        <charset val="204"/>
      </rPr>
      <t>очер_электр</t>
    </r>
    <r>
      <rPr>
        <b/>
        <sz val="10"/>
        <color indexed="8"/>
        <rFont val="Arial"/>
        <family val="2"/>
        <charset val="204"/>
      </rPr>
      <t>) х k спо</t>
    </r>
  </si>
  <si>
    <r>
      <t xml:space="preserve">G </t>
    </r>
    <r>
      <rPr>
        <b/>
        <i/>
        <sz val="8"/>
        <color indexed="8"/>
        <rFont val="Arial"/>
        <family val="2"/>
        <charset val="204"/>
      </rPr>
      <t>ку=</t>
    </r>
  </si>
  <si>
    <r>
      <t>G</t>
    </r>
    <r>
      <rPr>
        <b/>
        <sz val="8"/>
        <color indexed="8"/>
        <rFont val="Arial"/>
        <family val="2"/>
        <charset val="204"/>
      </rPr>
      <t xml:space="preserve"> связь=</t>
    </r>
  </si>
  <si>
    <r>
      <t xml:space="preserve">G </t>
    </r>
    <r>
      <rPr>
        <b/>
        <i/>
        <sz val="8"/>
        <color indexed="8"/>
        <rFont val="Arial"/>
        <family val="2"/>
        <charset val="204"/>
      </rPr>
      <t>трасп</t>
    </r>
    <r>
      <rPr>
        <b/>
        <sz val="11"/>
        <color indexed="8"/>
        <rFont val="Arial"/>
        <family val="2"/>
        <charset val="204"/>
      </rPr>
      <t>=</t>
    </r>
  </si>
  <si>
    <r>
      <t xml:space="preserve">G </t>
    </r>
    <r>
      <rPr>
        <b/>
        <i/>
        <sz val="8"/>
        <color indexed="8"/>
        <rFont val="Calibri"/>
        <family val="2"/>
        <charset val="204"/>
      </rPr>
      <t>спо</t>
    </r>
    <r>
      <rPr>
        <b/>
        <sz val="11"/>
        <color indexed="8"/>
        <rFont val="Calibri"/>
        <family val="2"/>
        <charset val="204"/>
      </rPr>
      <t>=</t>
    </r>
  </si>
  <si>
    <r>
      <t xml:space="preserve">Z </t>
    </r>
    <r>
      <rPr>
        <b/>
        <i/>
        <sz val="8"/>
        <color indexed="8"/>
        <rFont val="Arial"/>
        <family val="2"/>
        <charset val="204"/>
      </rPr>
      <t>очер_спо</t>
    </r>
    <r>
      <rPr>
        <b/>
        <sz val="11"/>
        <color indexed="8"/>
        <rFont val="Arial"/>
        <family val="2"/>
        <charset val="204"/>
      </rPr>
      <t>=</t>
    </r>
  </si>
  <si>
    <r>
      <t xml:space="preserve">K </t>
    </r>
    <r>
      <rPr>
        <b/>
        <i/>
        <sz val="8"/>
        <color indexed="8"/>
        <rFont val="Arial"/>
        <family val="2"/>
        <charset val="204"/>
      </rPr>
      <t xml:space="preserve">изм_площ </t>
    </r>
    <r>
      <rPr>
        <b/>
        <sz val="11"/>
        <color indexed="8"/>
        <rFont val="Arial"/>
        <family val="2"/>
        <charset val="204"/>
      </rPr>
      <t xml:space="preserve">   =</t>
    </r>
  </si>
  <si>
    <r>
      <t xml:space="preserve">N </t>
    </r>
    <r>
      <rPr>
        <b/>
        <i/>
        <sz val="8"/>
        <color indexed="8"/>
        <rFont val="Arial"/>
        <family val="2"/>
        <charset val="204"/>
      </rPr>
      <t>ку_им</t>
    </r>
  </si>
  <si>
    <r>
      <t xml:space="preserve">r </t>
    </r>
    <r>
      <rPr>
        <b/>
        <i/>
        <sz val="8"/>
        <color indexed="8"/>
        <rFont val="Calibri"/>
        <family val="2"/>
        <charset val="204"/>
      </rPr>
      <t>тепло</t>
    </r>
  </si>
  <si>
    <r>
      <t xml:space="preserve">r </t>
    </r>
    <r>
      <rPr>
        <b/>
        <i/>
        <sz val="8"/>
        <color indexed="8"/>
        <rFont val="Calibri"/>
        <family val="2"/>
        <charset val="204"/>
      </rPr>
      <t>электро</t>
    </r>
  </si>
  <si>
    <r>
      <t xml:space="preserve">N </t>
    </r>
    <r>
      <rPr>
        <b/>
        <i/>
        <sz val="8"/>
        <color indexed="8"/>
        <rFont val="Arial"/>
        <family val="2"/>
        <charset val="204"/>
      </rPr>
      <t>ку_им</t>
    </r>
    <r>
      <rPr>
        <b/>
        <sz val="10"/>
        <color indexed="8"/>
        <rFont val="Arial"/>
        <family val="2"/>
        <charset val="204"/>
      </rPr>
      <t>=</t>
    </r>
  </si>
  <si>
    <r>
      <t xml:space="preserve">(0,5 * r </t>
    </r>
    <r>
      <rPr>
        <b/>
        <i/>
        <sz val="8"/>
        <color indexed="8"/>
        <rFont val="Arial"/>
        <family val="2"/>
        <charset val="204"/>
      </rPr>
      <t>тепло</t>
    </r>
    <r>
      <rPr>
        <b/>
        <sz val="10"/>
        <color indexed="8"/>
        <rFont val="Arial"/>
        <family val="2"/>
        <charset val="204"/>
      </rPr>
      <t xml:space="preserve">*t </t>
    </r>
    <r>
      <rPr>
        <b/>
        <i/>
        <sz val="8"/>
        <color indexed="8"/>
        <rFont val="Arial"/>
        <family val="2"/>
        <charset val="204"/>
      </rPr>
      <t>очер_тепло</t>
    </r>
    <r>
      <rPr>
        <b/>
        <sz val="10"/>
        <color indexed="8"/>
        <rFont val="Arial"/>
        <family val="2"/>
        <charset val="204"/>
      </rPr>
      <t xml:space="preserve">+ 0,1* r </t>
    </r>
    <r>
      <rPr>
        <b/>
        <i/>
        <sz val="8"/>
        <color indexed="8"/>
        <rFont val="Arial"/>
        <family val="2"/>
        <charset val="204"/>
      </rPr>
      <t>электро</t>
    </r>
    <r>
      <rPr>
        <b/>
        <sz val="10"/>
        <color indexed="8"/>
        <rFont val="Arial"/>
        <family val="2"/>
        <charset val="204"/>
      </rPr>
      <t xml:space="preserve">* t </t>
    </r>
    <r>
      <rPr>
        <b/>
        <i/>
        <sz val="8"/>
        <color indexed="8"/>
        <rFont val="Arial"/>
        <family val="2"/>
        <charset val="204"/>
      </rPr>
      <t>очер _электро</t>
    </r>
    <r>
      <rPr>
        <b/>
        <sz val="10"/>
        <color indexed="8"/>
        <rFont val="Arial"/>
        <family val="2"/>
        <charset val="204"/>
      </rPr>
      <t>)*0,97, где:</t>
    </r>
  </si>
  <si>
    <r>
      <t xml:space="preserve">N </t>
    </r>
    <r>
      <rPr>
        <b/>
        <i/>
        <sz val="8"/>
        <color indexed="8"/>
        <rFont val="Arial"/>
        <family val="2"/>
        <charset val="204"/>
      </rPr>
      <t>ку_им</t>
    </r>
    <r>
      <rPr>
        <b/>
        <sz val="11"/>
        <color indexed="8"/>
        <rFont val="Arial"/>
        <family val="2"/>
        <charset val="204"/>
      </rPr>
      <t>=</t>
    </r>
  </si>
  <si>
    <r>
      <t xml:space="preserve">G </t>
    </r>
    <r>
      <rPr>
        <b/>
        <i/>
        <sz val="8"/>
        <color indexed="8"/>
        <rFont val="Arial"/>
        <family val="2"/>
        <charset val="204"/>
      </rPr>
      <t>фот_осп</t>
    </r>
    <r>
      <rPr>
        <b/>
        <sz val="11"/>
        <color indexed="8"/>
        <rFont val="Arial"/>
        <family val="2"/>
        <charset val="204"/>
      </rPr>
      <t>=</t>
    </r>
  </si>
  <si>
    <r>
      <t xml:space="preserve">Z </t>
    </r>
    <r>
      <rPr>
        <b/>
        <sz val="8"/>
        <color indexed="8"/>
        <rFont val="Arial"/>
        <family val="2"/>
        <charset val="204"/>
      </rPr>
      <t>очер _фот_осп</t>
    </r>
    <r>
      <rPr>
        <b/>
        <i/>
        <sz val="10"/>
        <color indexed="8"/>
        <rFont val="Arial"/>
        <family val="2"/>
        <charset val="204"/>
      </rPr>
      <t>=</t>
    </r>
  </si>
  <si>
    <r>
      <t xml:space="preserve">N </t>
    </r>
    <r>
      <rPr>
        <b/>
        <i/>
        <sz val="8"/>
        <color indexed="8"/>
        <rFont val="Arial"/>
        <family val="2"/>
        <charset val="204"/>
      </rPr>
      <t>им =</t>
    </r>
  </si>
  <si>
    <r>
      <t xml:space="preserve">N </t>
    </r>
    <r>
      <rPr>
        <b/>
        <i/>
        <sz val="8"/>
        <color indexed="8"/>
        <rFont val="Arial"/>
        <family val="2"/>
        <charset val="204"/>
      </rPr>
      <t>ку_им</t>
    </r>
    <r>
      <rPr>
        <b/>
        <sz val="11"/>
        <color indexed="8"/>
        <rFont val="Calibri"/>
        <family val="2"/>
        <charset val="204"/>
      </rPr>
      <t xml:space="preserve"> + N </t>
    </r>
    <r>
      <rPr>
        <b/>
        <i/>
        <sz val="8"/>
        <color indexed="8"/>
        <rFont val="Arial"/>
        <family val="2"/>
        <charset val="204"/>
      </rPr>
      <t>налоги_им</t>
    </r>
  </si>
  <si>
    <r>
      <t xml:space="preserve">N </t>
    </r>
    <r>
      <rPr>
        <b/>
        <i/>
        <sz val="8"/>
        <color indexed="8"/>
        <rFont val="Arial"/>
        <family val="2"/>
        <charset val="204"/>
      </rPr>
      <t>спо</t>
    </r>
    <r>
      <rPr>
        <b/>
        <sz val="11"/>
        <color indexed="8"/>
        <rFont val="Arial"/>
        <family val="2"/>
        <charset val="204"/>
      </rPr>
      <t>=</t>
    </r>
  </si>
  <si>
    <r>
      <t xml:space="preserve">G </t>
    </r>
    <r>
      <rPr>
        <b/>
        <i/>
        <sz val="8"/>
        <color indexed="8"/>
        <rFont val="Arial"/>
        <family val="2"/>
        <charset val="204"/>
      </rPr>
      <t>мз=</t>
    </r>
  </si>
  <si>
    <r>
      <t xml:space="preserve">N </t>
    </r>
    <r>
      <rPr>
        <b/>
        <i/>
        <sz val="8"/>
        <color indexed="8"/>
        <rFont val="Arial"/>
        <family val="2"/>
        <charset val="204"/>
      </rPr>
      <t>спо_общ</t>
    </r>
    <r>
      <rPr>
        <b/>
        <sz val="11"/>
        <color indexed="8"/>
        <rFont val="Arial"/>
        <family val="2"/>
        <charset val="204"/>
      </rPr>
      <t>=</t>
    </r>
  </si>
  <si>
    <r>
      <t xml:space="preserve">Норматив затрат на общехозяйственные нужды для государственной услуги по организации представления среднего профессионального образования  ( N </t>
    </r>
    <r>
      <rPr>
        <b/>
        <sz val="8"/>
        <color indexed="8"/>
        <rFont val="Arial"/>
        <family val="2"/>
        <charset val="204"/>
      </rPr>
      <t>спо_общ</t>
    </r>
    <r>
      <rPr>
        <b/>
        <i/>
        <sz val="10"/>
        <color indexed="8"/>
        <rFont val="Arial"/>
        <family val="2"/>
        <charset val="204"/>
      </rPr>
      <t>) рассчитывается по следующей формуле:</t>
    </r>
  </si>
  <si>
    <r>
      <t>1. Норматив затрат на оплату труда и начисления на выплаты по оплате труда основного персонала                                           (</t>
    </r>
    <r>
      <rPr>
        <b/>
        <sz val="10"/>
        <color indexed="8"/>
        <rFont val="Arial"/>
        <family val="2"/>
        <charset val="204"/>
      </rPr>
      <t xml:space="preserve">G </t>
    </r>
    <r>
      <rPr>
        <b/>
        <i/>
        <sz val="10"/>
        <color indexed="8"/>
        <rFont val="Arial"/>
        <family val="2"/>
        <charset val="204"/>
      </rPr>
      <t>фот_осп</t>
    </r>
    <r>
      <rPr>
        <i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) рассчитывается по следующей формуле:</t>
    </r>
  </si>
  <si>
    <t>3.Норматив затрат на стипендиальное обеспечение обучающихся рассчитывается по следующей формуле:</t>
  </si>
  <si>
    <t>основной персонал по факту</t>
  </si>
  <si>
    <t>по штату</t>
  </si>
  <si>
    <r>
      <t xml:space="preserve">G </t>
    </r>
    <r>
      <rPr>
        <b/>
        <i/>
        <sz val="8"/>
        <color indexed="8"/>
        <rFont val="Arial"/>
        <family val="2"/>
        <charset val="204"/>
      </rPr>
      <t>пр_спо комп=</t>
    </r>
  </si>
  <si>
    <r>
      <t xml:space="preserve">G </t>
    </r>
    <r>
      <rPr>
        <b/>
        <i/>
        <sz val="8"/>
        <color indexed="8"/>
        <rFont val="Arial"/>
        <family val="2"/>
        <charset val="204"/>
      </rPr>
      <t>общ_спо</t>
    </r>
    <r>
      <rPr>
        <b/>
        <sz val="10"/>
        <color indexed="8"/>
        <rFont val="Arial"/>
        <family val="2"/>
        <charset val="204"/>
      </rPr>
      <t>=</t>
    </r>
  </si>
  <si>
    <t>i мз</t>
  </si>
  <si>
    <t>зем.налог</t>
  </si>
  <si>
    <r>
      <t>N</t>
    </r>
    <r>
      <rPr>
        <b/>
        <i/>
        <sz val="10"/>
        <color indexed="8"/>
        <rFont val="Arial"/>
        <family val="2"/>
        <charset val="204"/>
      </rPr>
      <t>соц.стип                      -</t>
    </r>
  </si>
  <si>
    <t>Подразделение "13"-8</t>
  </si>
  <si>
    <t>Программное обеспечение  Подразделение "17"</t>
  </si>
  <si>
    <t>Лабораторное оборудование</t>
  </si>
  <si>
    <t>Приобретение продуктов питания "13"</t>
  </si>
  <si>
    <t>Преподаватели</t>
  </si>
  <si>
    <t>Подразделение "16" (для колледжа)</t>
  </si>
  <si>
    <t>Канцтовары, запасные части для работы МЦ (15)</t>
  </si>
  <si>
    <t>Канцтовары, запасные части для работы МЦ(14)</t>
  </si>
  <si>
    <t>Платные образовательные услуги</t>
  </si>
  <si>
    <t xml:space="preserve">Подразделение "13"                       </t>
  </si>
  <si>
    <t xml:space="preserve">Подразделение "15"                       </t>
  </si>
  <si>
    <t xml:space="preserve">Подразделение "16"                       </t>
  </si>
  <si>
    <t xml:space="preserve">Культурно-массовая и оздоровительная работа в т.ч.:                      </t>
  </si>
  <si>
    <t xml:space="preserve">Подразделение "11"                       </t>
  </si>
  <si>
    <t xml:space="preserve">Подразделение "10"                       </t>
  </si>
  <si>
    <t xml:space="preserve">Подразделение "5"                       </t>
  </si>
  <si>
    <t xml:space="preserve">Подразделение "14"                       </t>
  </si>
  <si>
    <t xml:space="preserve">Подразделение "17"                       </t>
  </si>
  <si>
    <t>Возмещение комм.услуг</t>
  </si>
  <si>
    <t>Преподаватели ,включая мастеров</t>
  </si>
  <si>
    <t xml:space="preserve">Подразделение "12"                       </t>
  </si>
  <si>
    <t>Услуги столовой</t>
  </si>
  <si>
    <t>Добровольные пожертвования</t>
  </si>
  <si>
    <t xml:space="preserve">Подразделение "8"                       </t>
  </si>
  <si>
    <r>
      <t xml:space="preserve">За обслуживание атоматической пожарной сигнализации по договору № 55 от 02.02.2012 г.,  </t>
    </r>
    <r>
      <rPr>
        <b/>
        <sz val="10"/>
        <rFont val="Arial"/>
        <family val="2"/>
        <charset val="204"/>
      </rPr>
      <t>ИП Макарова Л.А.</t>
    </r>
  </si>
  <si>
    <t xml:space="preserve">Недофинансирование </t>
  </si>
  <si>
    <t>На текущий ремонт колледжа,общежития                                            (Подразделение "15"  )</t>
  </si>
  <si>
    <r>
      <t>Оказание услуг электросвязи согласно муниципального контракта  № 26470 от 01.01.2012 г.</t>
    </r>
    <r>
      <rPr>
        <b/>
        <sz val="10"/>
        <rFont val="Arial Cyr"/>
        <charset val="204"/>
      </rPr>
      <t>( ОАО"Ростелеком" )</t>
    </r>
  </si>
  <si>
    <r>
      <t>За предоставление услуг доступа к ресурсам Екат.универ.сети EUNNet по договору № С-020/2011 от 01.02.2011 г.</t>
    </r>
    <r>
      <rPr>
        <b/>
        <sz val="10"/>
        <rFont val="Arial"/>
        <family val="2"/>
        <charset val="204"/>
      </rPr>
      <t xml:space="preserve"> (ГОУ ВПО УРЦИ УрГУ)</t>
    </r>
  </si>
  <si>
    <r>
      <t>Оказание услуг электросвязи согласно муниципального контракта  № 26470 от 01.01.2012 г.</t>
    </r>
    <r>
      <rPr>
        <b/>
        <sz val="10"/>
        <rFont val="Arial"/>
        <family val="2"/>
        <charset val="204"/>
      </rPr>
      <t>( ОАО"Ростелеком" )</t>
    </r>
  </si>
  <si>
    <r>
      <t xml:space="preserve">Оказание услуг междугородней и международной связи согласно договора № 100401 от 14.11.06г.      </t>
    </r>
    <r>
      <rPr>
        <b/>
        <sz val="10"/>
        <rFont val="Arial"/>
        <family val="2"/>
        <charset val="204"/>
      </rPr>
      <t xml:space="preserve">                                                 ( ОАО "Ростелеком" )</t>
    </r>
  </si>
  <si>
    <r>
      <t>За оказание услуг связи по передаче данных по договору № 1452/Ю от 01.01.2012 г.</t>
    </r>
    <r>
      <rPr>
        <b/>
        <sz val="10"/>
        <rFont val="Arial"/>
        <family val="2"/>
        <charset val="204"/>
      </rPr>
      <t>( ООО "Дельта-Телеком" )</t>
    </r>
  </si>
  <si>
    <t>По внебюджету</t>
  </si>
  <si>
    <t>По бюджету</t>
  </si>
  <si>
    <r>
      <t xml:space="preserve">Транспортные услуги </t>
    </r>
    <r>
      <rPr>
        <b/>
        <sz val="10"/>
        <color indexed="8"/>
        <rFont val="Arial"/>
        <family val="2"/>
        <charset val="204"/>
      </rPr>
      <t>(Мамедов)</t>
    </r>
  </si>
  <si>
    <t>Подразделение "8" ист."11"</t>
  </si>
  <si>
    <t>По внебюджет</t>
  </si>
  <si>
    <t>ПО бюджету</t>
  </si>
  <si>
    <r>
      <t xml:space="preserve">За оказание услуг связи по передаче данных по договору № 1452/Ю от 01.01.2012 г.                           </t>
    </r>
    <r>
      <rPr>
        <b/>
        <sz val="10"/>
        <rFont val="Arial"/>
        <family val="2"/>
        <charset val="204"/>
      </rPr>
      <t>( ООО "Дельта-Телеком" )</t>
    </r>
  </si>
  <si>
    <r>
      <t xml:space="preserve">За предоставление услуг доступа к ресурсам Екат.универ.сети EUNNet по договору № С-020/2011 от 01.02.2011 г.                                                  </t>
    </r>
    <r>
      <rPr>
        <b/>
        <sz val="10"/>
        <rFont val="Arial"/>
        <family val="2"/>
        <charset val="204"/>
      </rPr>
      <t>(ГОУ ВПО УРЦИ УрГУ)</t>
    </r>
  </si>
  <si>
    <t>Определение категории помещений по взыропожарной и  пожарной  По ПУЭ</t>
  </si>
  <si>
    <t>Итого по усл.№1</t>
  </si>
  <si>
    <t>Итого по усл.№2</t>
  </si>
  <si>
    <r>
      <t xml:space="preserve">За дератизацию и дезинсекцию по договору № 629 от 01.01.2012г.,   </t>
    </r>
    <r>
      <rPr>
        <b/>
        <sz val="10"/>
        <rFont val="Arial"/>
        <family val="2"/>
        <charset val="204"/>
      </rPr>
      <t>ЗАО"Городская дезинфекционная станция"</t>
    </r>
    <r>
      <rPr>
        <sz val="10"/>
        <rFont val="Arial"/>
        <family val="2"/>
        <charset val="204"/>
      </rPr>
      <t>,в т.ч.:</t>
    </r>
  </si>
  <si>
    <t>За камерную дезинфекцию</t>
  </si>
  <si>
    <t>За стирку белья</t>
  </si>
  <si>
    <r>
      <t>За обслуживание атоматической пожарной сигнализации по договору № 55 от 02.02.2012г.,</t>
    </r>
    <r>
      <rPr>
        <b/>
        <sz val="10"/>
        <rFont val="Arial"/>
        <family val="2"/>
        <charset val="204"/>
      </rPr>
      <t>ИП Макарова Л.А.</t>
    </r>
  </si>
  <si>
    <r>
      <t>За камерную дезинфекцию и стирку белья по договору № 36 от 01.01.2012г.</t>
    </r>
    <r>
      <rPr>
        <b/>
        <sz val="10"/>
        <rFont val="Arial"/>
        <family val="2"/>
        <charset val="204"/>
      </rPr>
      <t xml:space="preserve"> ООО "Озон" </t>
    </r>
  </si>
  <si>
    <r>
      <t xml:space="preserve">Техническое обслуживание ККТ по договору №1703012 от 01.01.2012 г.             </t>
    </r>
    <r>
      <rPr>
        <b/>
        <sz val="10"/>
        <rFont val="Arial"/>
        <family val="2"/>
        <charset val="204"/>
      </rPr>
      <t>ООО ЦТО "Диана"</t>
    </r>
  </si>
  <si>
    <r>
      <t xml:space="preserve">За вывоз твердых бытовых отходов по договору № 749 от 14.12.2011 г.                                    </t>
    </r>
    <r>
      <rPr>
        <b/>
        <sz val="10"/>
        <rFont val="Arial"/>
        <family val="2"/>
        <charset val="204"/>
      </rPr>
      <t>ЕМУП " Спецавтобаза"</t>
    </r>
  </si>
  <si>
    <r>
      <t xml:space="preserve">Оказание услуг электросвязи согласно муниципального контракта                                                              </t>
    </r>
    <r>
      <rPr>
        <b/>
        <sz val="10"/>
        <rFont val="Arial Cyr"/>
        <charset val="204"/>
      </rPr>
      <t>( ОАО"Ростелеком" )</t>
    </r>
  </si>
  <si>
    <r>
      <t xml:space="preserve">Оказание услуг связи по передаче данных  согласно договора                                                </t>
    </r>
    <r>
      <rPr>
        <b/>
        <sz val="10"/>
        <rFont val="Arial Cyr"/>
        <charset val="204"/>
      </rPr>
      <t>( ОАО"Ростелеком")</t>
    </r>
  </si>
  <si>
    <r>
      <t xml:space="preserve">Оплата услуг мобильной связи  </t>
    </r>
    <r>
      <rPr>
        <b/>
        <sz val="10"/>
        <color indexed="8"/>
        <rFont val="Arial"/>
        <family val="2"/>
        <charset val="204"/>
      </rPr>
      <t xml:space="preserve">                           (ОАО МТС)</t>
    </r>
  </si>
  <si>
    <r>
      <t xml:space="preserve">Оказание услуг междугородней и международной связи согласно договора № УФ/ТУ-2/ЦП-17581 от 01.03.2011г.      </t>
    </r>
    <r>
      <rPr>
        <b/>
        <sz val="10"/>
        <rFont val="Arial"/>
        <family val="2"/>
        <charset val="204"/>
      </rPr>
      <t xml:space="preserve">                                                 ( ОАО "Ростелеком" )</t>
    </r>
  </si>
  <si>
    <r>
      <t xml:space="preserve">Потребление тепловой энергии по договору энергоснабжения № 50277 от 01.01.2012 г.                           </t>
    </r>
    <r>
      <rPr>
        <b/>
        <sz val="10"/>
        <color indexed="8"/>
        <rFont val="Arial"/>
        <family val="2"/>
        <charset val="204"/>
      </rPr>
      <t>ООО "СТК"</t>
    </r>
  </si>
  <si>
    <t>Расшифровка расходов по коммунальным услугам ГБОУ СПО СО "Екатеринбургского монтажного колледжа" по СМЕТЕ РАСХОДОВ НА 2012 ГОД по коду 223</t>
  </si>
  <si>
    <t>Расшифровка расходов по увеличению стоимости материальных запасов ГБОУ СПО СО "Екатеринбургского монтажного колледжа" по СМЕТЕ РАСХОДОВ НА 2012 ГОД по коду 310</t>
  </si>
  <si>
    <r>
      <t xml:space="preserve">Оплата договора по обслуживанию ОПС </t>
    </r>
    <r>
      <rPr>
        <b/>
        <sz val="10"/>
        <rFont val="Arial"/>
        <family val="2"/>
        <charset val="204"/>
      </rPr>
      <t xml:space="preserve">                    (Око-Сервис)</t>
    </r>
  </si>
  <si>
    <r>
      <t>Оплата договора по обслуживанию тревожной кнопки</t>
    </r>
    <r>
      <rPr>
        <b/>
        <sz val="10"/>
        <rFont val="Arial"/>
        <family val="2"/>
        <charset val="204"/>
      </rPr>
      <t xml:space="preserve"> (Сова)</t>
    </r>
  </si>
  <si>
    <r>
      <t xml:space="preserve">Оказание медицинских услуг                           </t>
    </r>
    <r>
      <rPr>
        <b/>
        <sz val="10"/>
        <rFont val="Arial"/>
        <family val="2"/>
        <charset val="204"/>
      </rPr>
      <t xml:space="preserve"> (ООО "Екатеринбургавтротранс")</t>
    </r>
  </si>
  <si>
    <r>
      <t xml:space="preserve">Оказание медицинских услуг (флюрография ,медицинские осмотры) </t>
    </r>
    <r>
      <rPr>
        <b/>
        <sz val="10"/>
        <rFont val="Arial"/>
        <family val="2"/>
        <charset val="204"/>
      </rPr>
      <t xml:space="preserve">(МУ ЦГБ №6 ) </t>
    </r>
  </si>
  <si>
    <r>
      <t xml:space="preserve">Услуги инкассации   </t>
    </r>
    <r>
      <rPr>
        <b/>
        <sz val="10"/>
        <rFont val="Arial"/>
        <family val="2"/>
        <charset val="204"/>
      </rPr>
      <t xml:space="preserve">                                         (ООО КБ "Адмиралтейский")</t>
    </r>
  </si>
  <si>
    <r>
      <t xml:space="preserve">Образовательные услуги   </t>
    </r>
    <r>
      <rPr>
        <b/>
        <sz val="10"/>
        <rFont val="Arial"/>
        <family val="2"/>
        <charset val="204"/>
      </rPr>
      <t xml:space="preserve">                         (Центр интенсивных технологий)</t>
    </r>
  </si>
  <si>
    <t>Расходы на обучение работников по охране труда и повышению квалификации специалистов по охране труда (3 человека)</t>
  </si>
  <si>
    <r>
      <t xml:space="preserve">Печать газеты  </t>
    </r>
    <r>
      <rPr>
        <b/>
        <sz val="10"/>
        <rFont val="Arial"/>
        <family val="2"/>
        <charset val="204"/>
      </rPr>
      <t>(Полипринт)</t>
    </r>
  </si>
  <si>
    <r>
      <t xml:space="preserve">За право использования и сопровождение программы          </t>
    </r>
    <r>
      <rPr>
        <b/>
        <sz val="10"/>
        <rFont val="Arial"/>
        <family val="2"/>
        <charset val="204"/>
      </rPr>
      <t xml:space="preserve">                                                                              (ЗАО "Производственная фирма "СКБ Контур")</t>
    </r>
  </si>
  <si>
    <r>
      <t xml:space="preserve">За оказание информационных услуг (ежемесячно) </t>
    </r>
    <r>
      <rPr>
        <b/>
        <sz val="10"/>
        <rFont val="Arial"/>
        <family val="2"/>
        <charset val="204"/>
      </rPr>
      <t>ЗАО "Гарант"</t>
    </r>
  </si>
  <si>
    <t>проверка</t>
  </si>
  <si>
    <t>Установка огнезащитных клапанов в столовой</t>
  </si>
  <si>
    <t>Установка обводной линии водопровода</t>
  </si>
  <si>
    <t>Итого по 211</t>
  </si>
  <si>
    <t>Итого по 213</t>
  </si>
  <si>
    <r>
      <t xml:space="preserve">Ссоц.стип.-размер социальной стипендии </t>
    </r>
    <r>
      <rPr>
        <sz val="11"/>
        <color indexed="8"/>
        <rFont val="Arial"/>
        <family val="2"/>
        <charset val="204"/>
      </rPr>
      <t/>
    </r>
  </si>
  <si>
    <r>
      <t>12 -количество месяцев в году;</t>
    </r>
    <r>
      <rPr>
        <sz val="11"/>
        <color indexed="8"/>
        <rFont val="Arial"/>
        <family val="2"/>
        <charset val="204"/>
      </rPr>
      <t/>
    </r>
  </si>
  <si>
    <t>n-среднегодовое количество детей-инвалидов 1 и 2 группы</t>
  </si>
  <si>
    <r>
      <t>N</t>
    </r>
    <r>
      <rPr>
        <b/>
        <i/>
        <sz val="10"/>
        <color indexed="8"/>
        <rFont val="Arial"/>
        <family val="2"/>
        <charset val="204"/>
      </rPr>
      <t>мат.помощь            -</t>
    </r>
  </si>
  <si>
    <r>
      <t>(2*kнг+kкг),     где</t>
    </r>
    <r>
      <rPr>
        <b/>
        <sz val="11"/>
        <color indexed="8"/>
        <rFont val="Arial"/>
        <family val="2"/>
        <charset val="204"/>
      </rPr>
      <t/>
    </r>
  </si>
  <si>
    <t>Объем субсидии на выполнение государственного задания по реализации содержания  и воспитания детей,находящихся в трудной жизненой ситуации</t>
  </si>
  <si>
    <t>контингент лиц,признанным в установленном порядке детьми-инвалидами 1 и 2 групп</t>
  </si>
  <si>
    <t>Приложение № 12</t>
  </si>
  <si>
    <r>
      <t>N</t>
    </r>
    <r>
      <rPr>
        <b/>
        <i/>
        <sz val="10"/>
        <color indexed="8"/>
        <rFont val="Arial"/>
        <family val="2"/>
        <charset val="204"/>
      </rPr>
      <t xml:space="preserve"> го_сироты</t>
    </r>
  </si>
  <si>
    <r>
      <t>k</t>
    </r>
    <r>
      <rPr>
        <b/>
        <i/>
        <sz val="10"/>
        <color indexed="8"/>
        <rFont val="Arial"/>
        <family val="2"/>
        <charset val="204"/>
      </rPr>
      <t xml:space="preserve"> го_сироты</t>
    </r>
  </si>
  <si>
    <r>
      <t xml:space="preserve">N </t>
    </r>
    <r>
      <rPr>
        <b/>
        <i/>
        <sz val="10"/>
        <color indexed="8"/>
        <rFont val="Arial"/>
        <family val="2"/>
        <charset val="204"/>
      </rPr>
      <t>опека_сироты</t>
    </r>
  </si>
  <si>
    <r>
      <t xml:space="preserve">k </t>
    </r>
    <r>
      <rPr>
        <b/>
        <i/>
        <sz val="10"/>
        <color indexed="8"/>
        <rFont val="Arial"/>
        <family val="2"/>
        <charset val="204"/>
      </rPr>
      <t>опека_сироты</t>
    </r>
  </si>
  <si>
    <r>
      <t>N</t>
    </r>
    <r>
      <rPr>
        <b/>
        <i/>
        <sz val="10"/>
        <color indexed="8"/>
        <rFont val="Arial"/>
        <family val="2"/>
        <charset val="204"/>
      </rPr>
      <t xml:space="preserve"> выпуск_сироты</t>
    </r>
  </si>
  <si>
    <r>
      <t>N</t>
    </r>
    <r>
      <rPr>
        <b/>
        <i/>
        <sz val="10"/>
        <color indexed="8"/>
        <rFont val="Arial"/>
        <family val="2"/>
        <charset val="204"/>
      </rPr>
      <t xml:space="preserve"> питание_сироты-</t>
    </r>
  </si>
  <si>
    <r>
      <t>N</t>
    </r>
    <r>
      <rPr>
        <b/>
        <i/>
        <sz val="10"/>
        <color indexed="8"/>
        <rFont val="Arial"/>
        <family val="2"/>
        <charset val="204"/>
      </rPr>
      <t xml:space="preserve"> обмундирование_сироты</t>
    </r>
  </si>
  <si>
    <r>
      <t xml:space="preserve">N </t>
    </r>
    <r>
      <rPr>
        <b/>
        <i/>
        <sz val="10"/>
        <color indexed="8"/>
        <rFont val="Arial"/>
        <family val="2"/>
        <charset val="204"/>
      </rPr>
      <t>проезд_сироты</t>
    </r>
  </si>
  <si>
    <r>
      <t>N</t>
    </r>
    <r>
      <rPr>
        <b/>
        <i/>
        <sz val="10"/>
        <color indexed="8"/>
        <rFont val="Arial"/>
        <family val="2"/>
        <charset val="204"/>
      </rPr>
      <t xml:space="preserve"> соц.стип._сироты</t>
    </r>
  </si>
  <si>
    <r>
      <t xml:space="preserve">N </t>
    </r>
    <r>
      <rPr>
        <b/>
        <i/>
        <sz val="10"/>
        <color indexed="8"/>
        <rFont val="Arial"/>
        <family val="2"/>
        <charset val="204"/>
      </rPr>
      <t>канц.прин._сироты</t>
    </r>
  </si>
  <si>
    <r>
      <t xml:space="preserve">N </t>
    </r>
    <r>
      <rPr>
        <b/>
        <i/>
        <sz val="10"/>
        <color indexed="8"/>
        <rFont val="Arial"/>
        <family val="2"/>
        <charset val="204"/>
      </rPr>
      <t>культ.масс._сироты</t>
    </r>
  </si>
  <si>
    <r>
      <t xml:space="preserve">N </t>
    </r>
    <r>
      <rPr>
        <b/>
        <i/>
        <sz val="10"/>
        <color indexed="8"/>
        <rFont val="Arial"/>
        <family val="2"/>
        <charset val="204"/>
      </rPr>
      <t>проезд _сироты</t>
    </r>
    <r>
      <rPr>
        <b/>
        <sz val="10"/>
        <color indexed="8"/>
        <rFont val="Arial"/>
        <family val="2"/>
        <charset val="204"/>
      </rPr>
      <t>+N</t>
    </r>
    <r>
      <rPr>
        <b/>
        <i/>
        <sz val="10"/>
        <color indexed="8"/>
        <rFont val="Arial"/>
        <family val="2"/>
        <charset val="204"/>
      </rPr>
      <t xml:space="preserve"> соц.стип._сироты</t>
    </r>
    <r>
      <rPr>
        <b/>
        <sz val="10"/>
        <color indexed="8"/>
        <rFont val="Arial"/>
        <family val="2"/>
        <charset val="204"/>
      </rPr>
      <t>*12</t>
    </r>
  </si>
  <si>
    <r>
      <t xml:space="preserve">N </t>
    </r>
    <r>
      <rPr>
        <b/>
        <i/>
        <sz val="10"/>
        <color indexed="8"/>
        <rFont val="Arial"/>
        <family val="2"/>
        <charset val="204"/>
      </rPr>
      <t xml:space="preserve">опека_сироты </t>
    </r>
    <r>
      <rPr>
        <b/>
        <sz val="10"/>
        <color indexed="8"/>
        <rFont val="Arial"/>
        <family val="2"/>
        <charset val="204"/>
      </rPr>
      <t xml:space="preserve">                =</t>
    </r>
  </si>
  <si>
    <t>Недофинансирование</t>
  </si>
  <si>
    <r>
      <t xml:space="preserve">N </t>
    </r>
    <r>
      <rPr>
        <b/>
        <i/>
        <sz val="10"/>
        <color indexed="8"/>
        <rFont val="Arial"/>
        <family val="2"/>
        <charset val="204"/>
      </rPr>
      <t>проезд _сироты              =</t>
    </r>
  </si>
  <si>
    <r>
      <t xml:space="preserve">N </t>
    </r>
    <r>
      <rPr>
        <b/>
        <i/>
        <sz val="10"/>
        <color indexed="8"/>
        <rFont val="Arial"/>
        <family val="2"/>
        <charset val="204"/>
      </rPr>
      <t>соц.стип._сироты          =</t>
    </r>
  </si>
  <si>
    <t>Приложение № 8</t>
  </si>
  <si>
    <t>не выплачивается</t>
  </si>
  <si>
    <t>Приложение № 5</t>
  </si>
  <si>
    <t>Всего</t>
  </si>
  <si>
    <t>Услуги общежития</t>
  </si>
  <si>
    <t>Прочие услуги</t>
  </si>
  <si>
    <t>Сумма</t>
  </si>
  <si>
    <r>
      <t xml:space="preserve">детей-сирот и детей, оставшихся без попечения родителей (планируемый набор - 5 человек) </t>
    </r>
    <r>
      <rPr>
        <sz val="11"/>
        <color indexed="8"/>
        <rFont val="Arial"/>
        <family val="2"/>
        <charset val="204"/>
      </rPr>
      <t xml:space="preserve">                                                      </t>
    </r>
    <r>
      <rPr>
        <sz val="9"/>
        <color indexed="8"/>
        <rFont val="Arial"/>
        <family val="2"/>
        <charset val="204"/>
      </rPr>
      <t xml:space="preserve"> Расчет : 654,00 руб.(академ.стипендия ) * 2 * 5 чел.</t>
    </r>
  </si>
  <si>
    <r>
      <t xml:space="preserve">детей-сирот и детей, оставшихся без попечения родителей,находящихся под опекой (попечительством) (6 человек)  </t>
    </r>
    <r>
      <rPr>
        <sz val="11"/>
        <color indexed="8"/>
        <rFont val="Arial"/>
        <family val="2"/>
        <charset val="204"/>
      </rPr>
      <t xml:space="preserve">                                               </t>
    </r>
    <r>
      <rPr>
        <sz val="9"/>
        <color indexed="8"/>
        <rFont val="Arial"/>
        <family val="2"/>
        <charset val="204"/>
      </rPr>
      <t>Расчет : 654,00 руб.(академ.стипендия ) * 2 * 6 чел.</t>
    </r>
  </si>
  <si>
    <r>
      <t>детей-сирот и детей, оставшихся без попечения родителей,находящихся на полном государственном обеспечении в образовательном учреждении (19 человек)</t>
    </r>
    <r>
      <rPr>
        <sz val="11"/>
        <color indexed="8"/>
        <rFont val="Arial"/>
        <family val="2"/>
        <charset val="204"/>
      </rPr>
      <t xml:space="preserve">                                                         </t>
    </r>
    <r>
      <rPr>
        <sz val="9"/>
        <color indexed="8"/>
        <rFont val="Arial"/>
        <family val="2"/>
        <charset val="204"/>
      </rPr>
      <t>Расчет : 654,00 руб.(академ.стипендия ) * 2 * 19 чел.</t>
    </r>
  </si>
  <si>
    <r>
      <t>детей-сирот и детей, оставшихся без попечения родителей,находящихся на полном государственном обеспечении в образовательном учреждении (19 человек)</t>
    </r>
    <r>
      <rPr>
        <sz val="11"/>
        <color indexed="8"/>
        <rFont val="Arial"/>
        <family val="2"/>
        <charset val="204"/>
      </rPr>
      <t xml:space="preserve">                                                         </t>
    </r>
    <r>
      <rPr>
        <sz val="9"/>
        <color indexed="8"/>
        <rFont val="Arial"/>
        <family val="2"/>
        <charset val="204"/>
      </rPr>
      <t>Расчет : 654,00 руб.(академ.стипендия ) * 19 чел</t>
    </r>
  </si>
  <si>
    <r>
      <t xml:space="preserve">детей-сирот и детей, оставшихся без попечения родителей,находящихся под опекой (попечительством) (6 человек)  </t>
    </r>
    <r>
      <rPr>
        <sz val="11"/>
        <color indexed="8"/>
        <rFont val="Arial"/>
        <family val="2"/>
        <charset val="204"/>
      </rPr>
      <t xml:space="preserve">                                               </t>
    </r>
    <r>
      <rPr>
        <sz val="9"/>
        <color indexed="8"/>
        <rFont val="Arial"/>
        <family val="2"/>
        <charset val="204"/>
      </rPr>
      <t>Расчет : 654,00 руб.(академ.стипендия )  * 6 чел.</t>
    </r>
  </si>
  <si>
    <r>
      <t xml:space="preserve">детей-сирот и детей, оставшихся без попечения родителей (планируемый набор - 5 человек) </t>
    </r>
    <r>
      <rPr>
        <sz val="11"/>
        <color indexed="8"/>
        <rFont val="Arial"/>
        <family val="2"/>
        <charset val="204"/>
      </rPr>
      <t xml:space="preserve">                                                      </t>
    </r>
    <r>
      <rPr>
        <sz val="9"/>
        <color indexed="8"/>
        <rFont val="Arial"/>
        <family val="2"/>
        <charset val="204"/>
      </rPr>
      <t xml:space="preserve"> Расчет : 654,00 руб.(академ.стипендия ) * 5 чел.</t>
    </r>
  </si>
  <si>
    <t>Приобретение медикаментов</t>
  </si>
  <si>
    <t>Работники не имеющие отношения к преподавательской деятельности в т.ч.:</t>
  </si>
  <si>
    <r>
      <t xml:space="preserve">Компенсация на книгоиздательскую продукцию                                              </t>
    </r>
    <r>
      <rPr>
        <u/>
        <sz val="10"/>
        <rFont val="Arial"/>
        <family val="2"/>
        <charset val="204"/>
      </rPr>
      <t>Расчет</t>
    </r>
    <r>
      <rPr>
        <sz val="10"/>
        <rFont val="Arial"/>
        <family val="2"/>
        <charset val="204"/>
      </rPr>
      <t xml:space="preserve"> : 74 преподавателя*100 руб*12 мес.  в т.ч.:           </t>
    </r>
  </si>
  <si>
    <t>Недофинансирование по бюджету</t>
  </si>
  <si>
    <t>Подразделение "15" (ленолиум)</t>
  </si>
  <si>
    <t xml:space="preserve">Подразделение "15"                      </t>
  </si>
  <si>
    <t xml:space="preserve">                       наименование образовательного учреждения</t>
  </si>
  <si>
    <t>рублей</t>
  </si>
  <si>
    <t>Количество ставок, единиц</t>
  </si>
  <si>
    <t>Количество людей (указывается по основной ставке)</t>
  </si>
  <si>
    <t>Базовая  часть</t>
  </si>
  <si>
    <t>Всего зар.плата</t>
  </si>
  <si>
    <t xml:space="preserve">Уральский коэффициент </t>
  </si>
  <si>
    <t>Номер подр</t>
  </si>
  <si>
    <t>Кол-во номеров</t>
  </si>
  <si>
    <t>Абон.              плата</t>
  </si>
  <si>
    <t>Рудаков</t>
  </si>
  <si>
    <t>Приобретение проездных документов в служебных целях</t>
  </si>
  <si>
    <t>Транспортные услуги (Мамедов)</t>
  </si>
  <si>
    <t>Прочая доставка</t>
  </si>
  <si>
    <t>Расходы на проезд (командировки)</t>
  </si>
  <si>
    <t>Сумма по договору на 2012 год</t>
  </si>
  <si>
    <t>За подписку и доставку периодических печатных изданий согласно договора                                               № 0002 от 17.10.07г. В т.ч.:</t>
  </si>
  <si>
    <t>Подразделение "13"</t>
  </si>
  <si>
    <t>Консультационные услуги</t>
  </si>
  <si>
    <t>Оценочные услуги</t>
  </si>
  <si>
    <t>Участие в семинаре</t>
  </si>
  <si>
    <t>Нотариальные услуги</t>
  </si>
  <si>
    <t>Рекламные услуги</t>
  </si>
  <si>
    <t>Заработная плата за услуги по аккредитации</t>
  </si>
  <si>
    <t>Приобретение студенческих билетов и зачетных книжек</t>
  </si>
  <si>
    <t>Приобретение удостоверений</t>
  </si>
  <si>
    <t xml:space="preserve">Подразделение "13" </t>
  </si>
  <si>
    <t>Исследование полноты вложений, смывов</t>
  </si>
  <si>
    <t>Гигиенические исследования</t>
  </si>
  <si>
    <t>Проживание в командировках</t>
  </si>
  <si>
    <t>Печать фотографий</t>
  </si>
  <si>
    <t>Подразделение "12"</t>
  </si>
  <si>
    <t xml:space="preserve">Охранные услуги  ЧОП </t>
  </si>
  <si>
    <t>Охранные услуги будущего периода</t>
  </si>
  <si>
    <t>Подразделение "15" (Рудаков)</t>
  </si>
  <si>
    <t>Итого на 2012 год</t>
  </si>
  <si>
    <t>Программное обеспечение Антивирус</t>
  </si>
  <si>
    <t>в т.ч. Зав камерой хранения</t>
  </si>
  <si>
    <t>в т.ч. Зав общежитие</t>
  </si>
  <si>
    <t>в т.ч.воспитатель (2 чел.)</t>
  </si>
  <si>
    <t>в т.ч. Дежурный по общежитию</t>
  </si>
  <si>
    <t>слесарь сантехник</t>
  </si>
  <si>
    <t>электромонтер</t>
  </si>
  <si>
    <t>плотник</t>
  </si>
  <si>
    <t>уборщик территории</t>
  </si>
  <si>
    <t>уборщики служебных помещений</t>
  </si>
  <si>
    <t xml:space="preserve">Наименование </t>
  </si>
  <si>
    <t>Годовой фонд</t>
  </si>
  <si>
    <t>Утверждено по смете расходов на 2011 г. Министерством общего и проф.образования</t>
  </si>
  <si>
    <t>Рабочие в т ч.:</t>
  </si>
  <si>
    <t>сторожа</t>
  </si>
  <si>
    <t>Рабочие в т.ч.:</t>
  </si>
  <si>
    <t>Наименование структурных подразделений</t>
  </si>
  <si>
    <t>всего</t>
  </si>
  <si>
    <t xml:space="preserve">Обеспечение детей-сирот и детей, оставшихся без попечения родителей - выпускников областных образовательных учреждений   </t>
  </si>
  <si>
    <t>Единовременное денежное пособие для детей -сирот и детей, оставшихся без попечения родителей, выпускники государственных образовательных учреждений</t>
  </si>
  <si>
    <t xml:space="preserve">Компенсация на приобретение одежды, обуви, мягкого инвентаря, проезда, литературы и письменных принадлежностей детям-сиротам  и детям оставшимся без попечения родителей    в т.ч.:    </t>
  </si>
  <si>
    <t>Проезд</t>
  </si>
  <si>
    <t>Письменные принадлежности</t>
  </si>
  <si>
    <t>Обмундирование</t>
  </si>
  <si>
    <t>2012 год</t>
  </si>
  <si>
    <r>
      <t xml:space="preserve">За дератизацию и дезинсекцию  по договору № 629 от 01.01.2012  г.    </t>
    </r>
    <r>
      <rPr>
        <b/>
        <sz val="10"/>
        <rFont val="Arial"/>
        <family val="2"/>
        <charset val="204"/>
      </rPr>
      <t xml:space="preserve">                                                                                   ЗАО "Городская дезинфекционная станция",</t>
    </r>
    <r>
      <rPr>
        <sz val="10"/>
        <rFont val="Arial"/>
        <family val="2"/>
        <charset val="204"/>
      </rPr>
      <t>в т.ч.:</t>
    </r>
  </si>
  <si>
    <r>
      <t xml:space="preserve">Оплата договора по обслуживанию тревожной кнопки по договору № 99,100,1540 от 01.01.2012 </t>
    </r>
    <r>
      <rPr>
        <b/>
        <sz val="10"/>
        <rFont val="Arial"/>
        <family val="2"/>
        <charset val="204"/>
      </rPr>
      <t>ООО ЧОП</t>
    </r>
    <r>
      <rPr>
        <sz val="10"/>
        <rFont val="Arial"/>
        <family val="2"/>
        <charset val="204"/>
      </rPr>
      <t xml:space="preserve"> "</t>
    </r>
    <r>
      <rPr>
        <b/>
        <sz val="10"/>
        <rFont val="Arial"/>
        <family val="2"/>
        <charset val="204"/>
      </rPr>
      <t>Сова-1"</t>
    </r>
  </si>
  <si>
    <r>
      <t xml:space="preserve">Оплата договора по обслуживанию ОПС  по договору № 99/С от 01.01.2012г.  </t>
    </r>
    <r>
      <rPr>
        <b/>
        <sz val="10"/>
        <rFont val="Arial"/>
        <family val="2"/>
        <charset val="204"/>
      </rPr>
      <t xml:space="preserve">                                               ООО "Око-Сервис"</t>
    </r>
  </si>
  <si>
    <r>
      <t xml:space="preserve">За право использования и сопровождение программы    </t>
    </r>
    <r>
      <rPr>
        <b/>
        <sz val="10"/>
        <rFont val="Arial"/>
        <family val="2"/>
        <charset val="204"/>
      </rPr>
      <t xml:space="preserve">  </t>
    </r>
    <r>
      <rPr>
        <sz val="10"/>
        <rFont val="Arial"/>
        <family val="2"/>
        <charset val="204"/>
      </rPr>
      <t xml:space="preserve">по договору № к12030561 от 23.01.2012 г. </t>
    </r>
    <r>
      <rPr>
        <b/>
        <sz val="10"/>
        <rFont val="Arial"/>
        <family val="2"/>
        <charset val="204"/>
      </rPr>
      <t xml:space="preserve">                                                                                 ЗАО "Производственная фирма "СКБ Контур"</t>
    </r>
  </si>
  <si>
    <r>
      <t xml:space="preserve">За оказание информационных услуг (ежемесячно) по договору № 49878 от 01.01.2012г. </t>
    </r>
    <r>
      <rPr>
        <b/>
        <sz val="10"/>
        <rFont val="Arial"/>
        <family val="2"/>
        <charset val="204"/>
      </rPr>
      <t xml:space="preserve"> ООО "Гарант"</t>
    </r>
  </si>
  <si>
    <t>Наименование контингента</t>
  </si>
  <si>
    <t>Утверждено по смете расходов на 2012 г. Министерством общего и проф.образования</t>
  </si>
  <si>
    <t xml:space="preserve">Компенсация на приобретение продуктов питания детям-сиротам                                 </t>
  </si>
  <si>
    <t>Расшифровка расходов по прочим расходам                                                                                               " Материальная помощь студентам и учащимся"                                                                                                                                                      ГБОУ СПО СО "Екатеринбургского монтажного колледжа"                                                                                                                              ПО СМЕТЕ РАСХОДОВ НА 2012 ГОД  по коду 07044270000001290/012004</t>
  </si>
  <si>
    <t>Расшифровка расходов по социальной помощи населению (Выпускники)ГБОУ СПО СО "Екатеринбургского монтажного колледжа" по СМЕТЕ РАСХОДОВ НА 2012 ГОД по коду 07044270000001262/000005</t>
  </si>
  <si>
    <t>Повышение квалификации педагогических работников</t>
  </si>
  <si>
    <t>Транспортный налог</t>
  </si>
  <si>
    <t>479 081,00 - 650 210,88=</t>
  </si>
  <si>
    <t>Расшифровка расходов по социальной помощи населению                                     (Питание)                                                                                                                                      ГБОУ СПО СО "Екатеринбургского монтажного колледжа"                                               по СМЕТЕ РАСХОДОВ НА 2012 ГОД по коду 07044270000001262/000002</t>
  </si>
  <si>
    <r>
      <t xml:space="preserve">Сервисное обслуживание приборов учета и энергосберегающего оборудования по договору № С12-385 </t>
    </r>
    <r>
      <rPr>
        <b/>
        <sz val="10"/>
        <color indexed="8"/>
        <rFont val="Arial"/>
        <family val="2"/>
        <charset val="204"/>
      </rPr>
      <t>(ООО НПП "Элеком")</t>
    </r>
  </si>
  <si>
    <t xml:space="preserve">Подразделение "15"  </t>
  </si>
  <si>
    <t xml:space="preserve">Подразделение "8"  </t>
  </si>
  <si>
    <t>Гомпошлина за свидетельство о гос.регистрации</t>
  </si>
  <si>
    <t>Материальная помощь за счет прибыли</t>
  </si>
  <si>
    <t>Штраф при проверке за счет прибыли</t>
  </si>
  <si>
    <t>Подарки к НГ детям сотрудников ЕМК</t>
  </si>
  <si>
    <t>Подарки для контрагентов на НГ</t>
  </si>
  <si>
    <t>Проведение НГ вечера для сотрудников ЕМК</t>
  </si>
  <si>
    <t>ВСЕГО:</t>
  </si>
  <si>
    <t>Расшифровка расходов по прочим расходам ГБОУ СПО СО "Екатеринбургского монтажного колледжа" по СМЕТЕ РАСХОДОВ НА 2012 ГОД по коду 07044270000001290</t>
  </si>
  <si>
    <t>Приобретение подарков к мероприятиям</t>
  </si>
  <si>
    <t>Аренда автотранспорта</t>
  </si>
  <si>
    <t>Расшифровка расходов за услуги по содержанию имущества ГБОУ СПО СО "Екатеринбургского монтажного колледжа" по СМЕТЕ РАСХОДОВ НА 2012 ГОД по коду 07044270000001224</t>
  </si>
  <si>
    <t>подразделения</t>
  </si>
  <si>
    <t>Блендер</t>
  </si>
  <si>
    <t>Эл.чайник</t>
  </si>
  <si>
    <t>Приобретение чистящих и моющих средств</t>
  </si>
  <si>
    <t>Приобретение хозяйственных товаров</t>
  </si>
  <si>
    <t>Приобретение канцтоваров</t>
  </si>
  <si>
    <t>Приобретение продуктов питания</t>
  </si>
  <si>
    <t>Приобретение одноразовой посуды</t>
  </si>
  <si>
    <t xml:space="preserve">Приобретение мягкого инвентаря </t>
  </si>
  <si>
    <t>Шкаф для одежды с замком</t>
  </si>
  <si>
    <t xml:space="preserve">Подразделение "10" </t>
  </si>
  <si>
    <t xml:space="preserve">ВСЕГО </t>
  </si>
  <si>
    <t>Автотренажер</t>
  </si>
  <si>
    <t>Подразделение "15" (к возмещению по внебюджету  ВЕРТЕБРА)</t>
  </si>
  <si>
    <t>Мониторы (11 шт.)</t>
  </si>
  <si>
    <t>Принтер (1 шт.)</t>
  </si>
  <si>
    <t>Клавиатура (5 шт.)</t>
  </si>
  <si>
    <t>Оптическая мышь ( 5 шт.)</t>
  </si>
  <si>
    <t>Подразделение "16" (на школу)</t>
  </si>
  <si>
    <t>Библиотечный фонд</t>
  </si>
  <si>
    <t>Доска мультимедийная (1 шт.)</t>
  </si>
  <si>
    <t>По предписаниям,замена плана эвакуации</t>
  </si>
  <si>
    <t>Строительные материалы</t>
  </si>
  <si>
    <t xml:space="preserve">Приобретение сантехнических материалов </t>
  </si>
  <si>
    <t xml:space="preserve">Металлоизделия </t>
  </si>
  <si>
    <t xml:space="preserve">Электротехнические материалы </t>
  </si>
  <si>
    <t>Хозяйственные материалы</t>
  </si>
  <si>
    <t>Чистящие и моющие средства</t>
  </si>
  <si>
    <t>Канцелярские принадлежности</t>
  </si>
  <si>
    <t xml:space="preserve">На ремонт вычислительной техники </t>
  </si>
  <si>
    <t>На модернизацию кабинета № 211</t>
  </si>
  <si>
    <t>Канцтовары, запасные части для работы МЦ</t>
  </si>
  <si>
    <t>Замена окон в аудиториях № 409,407,411,412</t>
  </si>
  <si>
    <t>Строительные материалы для практики</t>
  </si>
  <si>
    <t>Строительные материалы ( в т.ч. Электротех.,сантех.,металл.,строит. И т.д.)</t>
  </si>
  <si>
    <t>Подразделение "15" (для мастерских)</t>
  </si>
  <si>
    <t>Подразделение "15" (для практики)</t>
  </si>
  <si>
    <t>На ремонт вычислительной техники</t>
  </si>
  <si>
    <t>Мягкий инвентарь</t>
  </si>
  <si>
    <t>Медикаменты</t>
  </si>
  <si>
    <t xml:space="preserve">за категорию </t>
  </si>
  <si>
    <t>Руководители</t>
  </si>
  <si>
    <t>Учебно-вспомогательный персонал</t>
  </si>
  <si>
    <t>Педагогические работники (кроме основного персонала)</t>
  </si>
  <si>
    <t xml:space="preserve">Служащие </t>
  </si>
  <si>
    <t>Медицинские работники</t>
  </si>
  <si>
    <t>Работники культуры</t>
  </si>
  <si>
    <t xml:space="preserve">Итого </t>
  </si>
  <si>
    <t>ИТОГО</t>
  </si>
  <si>
    <t>Директор</t>
  </si>
  <si>
    <t>А.В. Ханин</t>
  </si>
  <si>
    <t>Главный бухгалтер</t>
  </si>
  <si>
    <t>Т.В. Горохова</t>
  </si>
  <si>
    <t>Предмет договора</t>
  </si>
  <si>
    <t xml:space="preserve">Годовой фонд </t>
  </si>
  <si>
    <t>ВСЕГО по колледжу: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</si>
  <si>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</si>
  <si>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</si>
  <si>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</si>
  <si>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</si>
  <si>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</si>
  <si>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</si>
  <si>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</si>
  <si>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 xml:space="preserve">Подразделение "8"                          </t>
  </si>
  <si>
    <t>Проверка</t>
  </si>
  <si>
    <t>Права использования программы "Сводная отчетность"</t>
  </si>
  <si>
    <t>Сопровождение программы "АМБА"</t>
  </si>
  <si>
    <t>Сопровождение программы "КонтурБух.Бюдж."</t>
  </si>
  <si>
    <t>Права использования программы "КонтурБух.Бюдж."</t>
  </si>
  <si>
    <t>Установка на обводной линии электрозадвижек</t>
  </si>
  <si>
    <t xml:space="preserve">Подразделение "13"  </t>
  </si>
  <si>
    <t>Подразделение "13" (для РМБ)</t>
  </si>
  <si>
    <t>Подразделение "13" для общежития</t>
  </si>
  <si>
    <t>Для образовательного процесса колледжа</t>
  </si>
  <si>
    <r>
      <t xml:space="preserve">Компьютер (10 шт.)                                                           </t>
    </r>
    <r>
      <rPr>
        <sz val="8"/>
        <rFont val="Arial"/>
        <family val="2"/>
        <charset val="204"/>
      </rPr>
      <t>(Системный блок,монитор,клавиатура,программное обеспечение,мышь)</t>
    </r>
  </si>
  <si>
    <t>Работники не имеющие отношения к преподавательской деятельности</t>
  </si>
  <si>
    <t xml:space="preserve"> август</t>
  </si>
  <si>
    <t>сентябрь</t>
  </si>
  <si>
    <t>октябрь</t>
  </si>
  <si>
    <t>ноябрь</t>
  </si>
  <si>
    <t>декабрь</t>
  </si>
  <si>
    <t>Итого</t>
  </si>
  <si>
    <t>Код подр дебет</t>
  </si>
  <si>
    <t>Код ист-к</t>
  </si>
  <si>
    <t>Расходы на инкасацию за 2011 год</t>
  </si>
  <si>
    <t>%</t>
  </si>
  <si>
    <t>Планируемые расходы на инкассацию в 2012 году</t>
  </si>
  <si>
    <t>Уплата земельного налога</t>
  </si>
  <si>
    <t>базовый уровень</t>
  </si>
  <si>
    <t>повышенный уровень</t>
  </si>
  <si>
    <t>итого</t>
  </si>
  <si>
    <t>Преподаватели повышенного уровня (11686 часов)</t>
  </si>
  <si>
    <t>Преподаватели базового уровня (48602 часов)</t>
  </si>
  <si>
    <t>Доход планируемый на 2012 год</t>
  </si>
  <si>
    <t>% к общему доходу</t>
  </si>
  <si>
    <t>инкассация</t>
  </si>
  <si>
    <t>Подразделение</t>
  </si>
  <si>
    <t>Доход</t>
  </si>
  <si>
    <t>Сумма инкассации в год</t>
  </si>
  <si>
    <t>за 1 выезд</t>
  </si>
  <si>
    <t>за пересчет сумки</t>
  </si>
  <si>
    <t>2 раза в неделю инкассация примерно</t>
  </si>
  <si>
    <t>выездов в год</t>
  </si>
  <si>
    <t>% от дохода</t>
  </si>
  <si>
    <t>ПО ВНЕБЮДЖЕТУ</t>
  </si>
  <si>
    <t>ПО БЮДЖЕТУ</t>
  </si>
  <si>
    <t>Абонентская плата (ежемесячно)</t>
  </si>
  <si>
    <t>Подразделение "15"</t>
  </si>
  <si>
    <t>Подразделение "8"</t>
  </si>
  <si>
    <t>Подразделение "11"</t>
  </si>
  <si>
    <t>Подразделение "10"</t>
  </si>
  <si>
    <t>Подразделение "5"</t>
  </si>
  <si>
    <t>Местн.соед.ТП Повременный , услуги внутризоновой телефонной связи</t>
  </si>
  <si>
    <t>Подразделение "17"</t>
  </si>
  <si>
    <t>Подразделение "14"</t>
  </si>
  <si>
    <t xml:space="preserve">Подразделение "8"    ист."11"                      </t>
  </si>
  <si>
    <t>Подразделение "16"</t>
  </si>
  <si>
    <t>КОДЫ</t>
  </si>
  <si>
    <t>Дата</t>
  </si>
  <si>
    <t xml:space="preserve">Наименование государственного         </t>
  </si>
  <si>
    <t>по ОКЕИ</t>
  </si>
  <si>
    <t>Единица измерения: руб.</t>
  </si>
  <si>
    <t>Услуга за пересылку налоговой декларации</t>
  </si>
  <si>
    <t>За перерегистрацию домена</t>
  </si>
  <si>
    <t>О.А. Шаповалова</t>
  </si>
  <si>
    <t xml:space="preserve">Утверждено по смете расходов на 2012 г. Министерством общего и проф.образования                                             </t>
  </si>
  <si>
    <t xml:space="preserve">Утверждено по смете расходов на 2012 г. Министерством общего и проф.образования                            </t>
  </si>
  <si>
    <t>№ п/п</t>
  </si>
  <si>
    <t>Текущий ремонт колледжа , общежития</t>
  </si>
  <si>
    <t xml:space="preserve">Подразделение "10"                         </t>
  </si>
  <si>
    <t xml:space="preserve">Подразделение "8" </t>
  </si>
  <si>
    <t xml:space="preserve">Подразделение "15" </t>
  </si>
  <si>
    <t>Текущий ремонт оборудования</t>
  </si>
  <si>
    <t xml:space="preserve">Подразделение "14" </t>
  </si>
  <si>
    <t>Устранение внешнего засора</t>
  </si>
  <si>
    <t xml:space="preserve">Подразделение "11" </t>
  </si>
  <si>
    <t>Госпроверка весов</t>
  </si>
  <si>
    <t>Заправка картриджей</t>
  </si>
  <si>
    <t xml:space="preserve">Подразделение "16" </t>
  </si>
  <si>
    <t>Заправка тонера</t>
  </si>
  <si>
    <t>Заработная плата за уборку</t>
  </si>
  <si>
    <t>Огнезащитная обработка деревянных конструкций</t>
  </si>
  <si>
    <t>С=Nсоц.стип*kсоц.стип+Nмат.помощь,где</t>
  </si>
  <si>
    <t xml:space="preserve">нормативные затраты на степиндиальное обеспечение рассчитывается по формуле               </t>
  </si>
  <si>
    <t xml:space="preserve">Nсоц.стип.=Ссоц.стип*12*n,где </t>
  </si>
  <si>
    <t>С=</t>
  </si>
  <si>
    <t>Nсоц.стип.=</t>
  </si>
  <si>
    <t>=</t>
  </si>
  <si>
    <t>нормативы затраты на выплату материальной помощи учащимся</t>
  </si>
  <si>
    <t>Расчет среднегодового количества детей-инвалидов 1 и 2 группы</t>
  </si>
  <si>
    <t xml:space="preserve">kn;с= </t>
  </si>
  <si>
    <t>k нг</t>
  </si>
  <si>
    <t>k кг</t>
  </si>
  <si>
    <t>kn;с=</t>
  </si>
  <si>
    <t>С-</t>
  </si>
  <si>
    <t>норматив на питание в день</t>
  </si>
  <si>
    <t>Объем субсидии на выполнение государственного задания по социальной поддержке и социальному обслуживанию детей-сирот и детей,оставшихся без попечения родителей, в 2012 году</t>
  </si>
  <si>
    <t>,где:</t>
  </si>
  <si>
    <t>объем (количество единиц) оказания государственной услуги по социальной поддержке и социальному обслуживанию детей-сирот и детей, оставшихся без попечения родителей, находящихся под опекой  в соответствующем финансовом году;</t>
  </si>
  <si>
    <t>норматив затрат на оказание государственной услуги по социальной поддержке и социальному обслуживанию детей-сирот и детей, оставшихся без попечения родителей, находящихся на полном государственном обеспечении  в соответствующем финансовом году;</t>
  </si>
  <si>
    <t>норматив затрат на оказание государственной услуги по социальной поддержке и социальному обслуживанию детей-сирот и детей, оставшихся без попечения родителей, находящихся под опекой и попечительством  в соответствующем финансовом году;</t>
  </si>
  <si>
    <t>объем (количество единиц) оказания государственной услуги по социальной поддержке и социальному обслуживанию детей-сирот и детей, оставшихся без попечения родителей, находящихся под опекой и попечительством в соответствующем финансовом году;</t>
  </si>
  <si>
    <t>норматив затрат на оказание государственной услуги по выпуску детей-сирот и детей, оставшихся без попечения родителей, в соответствующем финансовом году;</t>
  </si>
  <si>
    <t>объем субсидии на выполнение государственного задания по социальной поддержке и социальному обслуживанию детей-сирот и детей, оставшихся без попечения родителей,   в соответствующем финансовом году;</t>
  </si>
  <si>
    <t>где</t>
  </si>
  <si>
    <t>контингент сирот и детей, оставшихся без попечения родителей, на начало года.</t>
  </si>
  <si>
    <t>образовательное учреждение Свердловской области</t>
  </si>
  <si>
    <t xml:space="preserve">                                       УТВЕРЖДАЮ</t>
  </si>
  <si>
    <r>
      <t xml:space="preserve">                             </t>
    </r>
    <r>
      <rPr>
        <u/>
        <sz val="10"/>
        <color indexed="8"/>
        <rFont val="Arial"/>
        <family val="2"/>
        <charset val="204"/>
      </rPr>
      <t xml:space="preserve"> Директор</t>
    </r>
  </si>
  <si>
    <t>Министерство образования и молодежной политики Свердловской области</t>
  </si>
  <si>
    <t xml:space="preserve">                                                                                                        (наименование органа-учредителя (учреждения)</t>
  </si>
  <si>
    <t xml:space="preserve">                                                                         (подпись)          (расшифровка подписи)</t>
  </si>
  <si>
    <t xml:space="preserve">государственное автономное профессиональное </t>
  </si>
  <si>
    <t>КПП</t>
  </si>
  <si>
    <t>ИНН</t>
  </si>
  <si>
    <t>По ОКАТО</t>
  </si>
  <si>
    <t>Наименование органа, осуществляющего функции и полномочия учредителя</t>
  </si>
  <si>
    <t>Глава по БК</t>
  </si>
  <si>
    <t xml:space="preserve">Адрес </t>
  </si>
  <si>
    <t>фактического</t>
  </si>
  <si>
    <t>местонахождения</t>
  </si>
  <si>
    <t>012</t>
  </si>
  <si>
    <t xml:space="preserve"> учреждения </t>
  </si>
  <si>
    <t>(наименование должности уполномоченного лица)</t>
  </si>
  <si>
    <t xml:space="preserve">                                         "__________"_____________________202__г.</t>
  </si>
  <si>
    <t>623417, Свердловская область, г.Каменск-Уральский,</t>
  </si>
  <si>
    <t>финансово-хозяйственной деятельности на 2022 год</t>
  </si>
  <si>
    <t>и плановый период 2023 и 2024 годов</t>
  </si>
  <si>
    <r>
      <t xml:space="preserve">                                                                           ______________ </t>
    </r>
    <r>
      <rPr>
        <u/>
        <sz val="10"/>
        <color indexed="8"/>
        <rFont val="Arial"/>
        <family val="2"/>
        <charset val="204"/>
      </rPr>
      <t xml:space="preserve">               Н.В.Казанская</t>
    </r>
  </si>
  <si>
    <t>"Каменск-Уральский радиотехнический техникум"</t>
  </si>
  <si>
    <t>ул. Ленина,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</si>
</sst>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0.000"/>
    <numFmt numFmtId="167" formatCode="#,##0.00&quot;р.&quot;"/>
    <numFmt numFmtId="168" formatCode="#,##0.00_р_."/>
    <numFmt numFmtId="169" formatCode="#,##0&quot;р.&quot;"/>
  </numFmts>
  <fonts count="60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i/>
      <sz val="8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i/>
      <sz val="11"/>
      <color indexed="8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i/>
      <sz val="10"/>
      <color indexed="8"/>
      <name val="Arial"/>
      <family val="2"/>
      <charset val="204"/>
    </font>
    <font>
      <b/>
      <i/>
      <sz val="11"/>
      <color indexed="8"/>
      <name val="Arial"/>
      <family val="2"/>
      <charset val="204"/>
    </font>
    <font>
      <sz val="7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8"/>
      <color indexed="8"/>
      <name val="Calibri"/>
      <family val="2"/>
      <charset val="204"/>
    </font>
    <font>
      <b/>
      <sz val="8"/>
      <name val="Arial Cyr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color indexed="10"/>
      <name val="Arial Cyr"/>
      <charset val="204"/>
    </font>
    <font>
      <b/>
      <sz val="10"/>
      <color indexed="10"/>
      <name val="Arial Cyr"/>
      <charset val="204"/>
    </font>
    <font>
      <sz val="12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b/>
      <i/>
      <sz val="8"/>
      <name val="Arial"/>
      <family val="2"/>
      <charset val="204"/>
    </font>
    <font>
      <i/>
      <sz val="8"/>
      <color indexed="8"/>
      <name val="Calibri"/>
      <family val="2"/>
      <charset val="204"/>
    </font>
    <font>
      <sz val="8"/>
      <name val="Arial"/>
      <family val="2"/>
      <charset val="204"/>
    </font>
    <font>
      <b/>
      <sz val="6"/>
      <name val="Arial"/>
      <family val="2"/>
      <charset val="204"/>
    </font>
    <font>
      <u/>
      <sz val="10"/>
      <name val="Arial Cyr"/>
      <charset val="204"/>
    </font>
    <font>
      <u/>
      <sz val="10"/>
      <name val="Arial"/>
      <family val="2"/>
      <charset val="204"/>
    </font>
    <font>
      <b/>
      <sz val="28"/>
      <color indexed="8"/>
      <name val="Calibri"/>
      <family val="2"/>
      <charset val="204"/>
    </font>
    <font>
      <i/>
      <sz val="9"/>
      <color indexed="8"/>
      <name val="Arial"/>
      <family val="2"/>
      <charset val="204"/>
    </font>
    <font>
      <i/>
      <sz val="9"/>
      <name val="Arial"/>
      <family val="2"/>
      <charset val="204"/>
    </font>
    <font>
      <b/>
      <i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7"/>
      <color indexed="8"/>
      <name val="Arial"/>
      <family val="2"/>
      <charset val="204"/>
    </font>
    <font>
      <u/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5" fillId="0" borderId="0"/>
    <xf numFmtId="0" fontId="25" fillId="0" borderId="0"/>
    <xf numFmtId="164" fontId="16" fillId="0" borderId="0" applyFont="0" applyFill="0" applyBorder="0" applyAlignment="0" applyProtection="0"/>
  </cellStyleXfs>
  <cellXfs count="9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wrapText="1"/>
    </xf>
    <xf numFmtId="0" fontId="6" fillId="0" borderId="0" xfId="0" applyFont="1"/>
    <xf numFmtId="0" fontId="8" fillId="0" borderId="0" xfId="0" applyFont="1"/>
    <xf numFmtId="0" fontId="9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vertical="center" wrapText="1"/>
    </xf>
    <xf numFmtId="0" fontId="11" fillId="0" borderId="0" xfId="0" applyFont="1"/>
    <xf numFmtId="0" fontId="12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2" fillId="0" borderId="0" xfId="0" applyFont="1"/>
    <xf numFmtId="0" fontId="12" fillId="2" borderId="0" xfId="0" applyFont="1" applyFill="1"/>
    <xf numFmtId="1" fontId="12" fillId="2" borderId="0" xfId="0" applyNumberFormat="1" applyFont="1" applyFill="1"/>
    <xf numFmtId="0" fontId="7" fillId="0" borderId="0" xfId="0" applyFont="1" applyAlignment="1">
      <alignment horizontal="justify" vertical="center"/>
    </xf>
    <xf numFmtId="0" fontId="9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4" fillId="0" borderId="0" xfId="0" applyFont="1"/>
    <xf numFmtId="0" fontId="10" fillId="0" borderId="0" xfId="0" applyFont="1"/>
    <xf numFmtId="0" fontId="12" fillId="2" borderId="0" xfId="0" applyFont="1" applyFill="1" applyAlignment="1">
      <alignment vertical="top"/>
    </xf>
    <xf numFmtId="2" fontId="8" fillId="2" borderId="0" xfId="0" applyNumberFormat="1" applyFont="1" applyFill="1"/>
    <xf numFmtId="0" fontId="4" fillId="0" borderId="0" xfId="0" applyFont="1"/>
    <xf numFmtId="0" fontId="8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  <xf numFmtId="0" fontId="1" fillId="2" borderId="0" xfId="0" applyFont="1" applyFill="1" applyAlignment="1">
      <alignment horizontal="right"/>
    </xf>
    <xf numFmtId="2" fontId="8" fillId="2" borderId="0" xfId="0" applyNumberFormat="1" applyFont="1" applyFill="1" applyAlignment="1">
      <alignment horizontal="left" wrapText="1"/>
    </xf>
    <xf numFmtId="2" fontId="8" fillId="0" borderId="0" xfId="0" applyNumberFormat="1" applyFont="1"/>
    <xf numFmtId="0" fontId="8" fillId="2" borderId="0" xfId="0" applyFont="1" applyFill="1"/>
    <xf numFmtId="1" fontId="8" fillId="2" borderId="0" xfId="0" applyNumberFormat="1" applyFont="1" applyFill="1"/>
    <xf numFmtId="0" fontId="9" fillId="2" borderId="0" xfId="0" applyFont="1" applyFill="1"/>
    <xf numFmtId="0" fontId="12" fillId="0" borderId="0" xfId="0" applyFont="1" applyAlignment="1">
      <alignment horizontal="right"/>
    </xf>
    <xf numFmtId="0" fontId="12" fillId="2" borderId="0" xfId="0" applyFont="1" applyFill="1" applyAlignment="1">
      <alignment horizontal="right"/>
    </xf>
    <xf numFmtId="165" fontId="8" fillId="2" borderId="0" xfId="0" applyNumberFormat="1" applyFont="1" applyFill="1"/>
    <xf numFmtId="2" fontId="8" fillId="0" borderId="0" xfId="0" applyNumberFormat="1" applyFont="1" applyAlignment="1">
      <alignment vertical="top"/>
    </xf>
    <xf numFmtId="2" fontId="8" fillId="2" borderId="0" xfId="0" applyNumberFormat="1" applyFont="1" applyFill="1" applyAlignment="1">
      <alignment vertical="top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1" fontId="8" fillId="2" borderId="0" xfId="0" applyNumberFormat="1" applyFont="1" applyFill="1" applyAlignment="1">
      <alignment wrapText="1"/>
    </xf>
    <xf numFmtId="2" fontId="8" fillId="3" borderId="0" xfId="0" applyNumberFormat="1" applyFont="1" applyFill="1"/>
    <xf numFmtId="0" fontId="11" fillId="2" borderId="0" xfId="0" applyFont="1" applyFill="1"/>
    <xf numFmtId="2" fontId="8" fillId="2" borderId="0" xfId="0" applyNumberFormat="1" applyFont="1" applyFill="1" applyAlignment="1">
      <alignment horizontal="left" vertical="center" wrapText="1"/>
    </xf>
    <xf numFmtId="0" fontId="8" fillId="2" borderId="0" xfId="0" applyFont="1" applyFill="1" applyAlignment="1">
      <alignment wrapText="1"/>
    </xf>
    <xf numFmtId="0" fontId="8" fillId="2" borderId="0" xfId="0" applyFont="1" applyFill="1" applyAlignment="1">
      <alignment horizontal="right" vertical="top"/>
    </xf>
    <xf numFmtId="0" fontId="8" fillId="2" borderId="0" xfId="0" applyFont="1" applyFill="1" applyAlignment="1">
      <alignment horizontal="left"/>
    </xf>
    <xf numFmtId="0" fontId="3" fillId="2" borderId="0" xfId="0" applyFont="1" applyFill="1"/>
    <xf numFmtId="0" fontId="8" fillId="0" borderId="0" xfId="0" applyFont="1" applyAlignment="1">
      <alignment horizontal="center"/>
    </xf>
    <xf numFmtId="0" fontId="8" fillId="0" borderId="1" xfId="0" applyFont="1" applyBorder="1"/>
    <xf numFmtId="2" fontId="8" fillId="2" borderId="0" xfId="0" applyNumberFormat="1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right"/>
    </xf>
    <xf numFmtId="2" fontId="9" fillId="0" borderId="0" xfId="0" applyNumberFormat="1" applyFont="1"/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8" fillId="2" borderId="0" xfId="0" applyFont="1" applyFill="1" applyAlignment="1">
      <alignment horizontal="right"/>
    </xf>
    <xf numFmtId="0" fontId="8" fillId="0" borderId="0" xfId="0" applyFont="1" applyAlignment="1">
      <alignment wrapText="1"/>
    </xf>
    <xf numFmtId="0" fontId="8" fillId="2" borderId="0" xfId="0" applyFont="1" applyFill="1" applyAlignment="1">
      <alignment vertical="center"/>
    </xf>
    <xf numFmtId="0" fontId="3" fillId="3" borderId="0" xfId="0" applyFont="1" applyFill="1"/>
    <xf numFmtId="0" fontId="8" fillId="3" borderId="0" xfId="0" applyFont="1" applyFill="1" applyAlignment="1">
      <alignment horizontal="right"/>
    </xf>
    <xf numFmtId="1" fontId="8" fillId="3" borderId="0" xfId="0" applyNumberFormat="1" applyFont="1" applyFill="1"/>
    <xf numFmtId="0" fontId="8" fillId="3" borderId="0" xfId="0" applyFont="1" applyFill="1"/>
    <xf numFmtId="0" fontId="0" fillId="3" borderId="0" xfId="0" applyFill="1"/>
    <xf numFmtId="167" fontId="8" fillId="2" borderId="0" xfId="0" applyNumberFormat="1" applyFont="1" applyFill="1"/>
    <xf numFmtId="2" fontId="8" fillId="2" borderId="0" xfId="0" applyNumberFormat="1" applyFont="1" applyFill="1" applyAlignment="1">
      <alignment horizontal="right"/>
    </xf>
    <xf numFmtId="0" fontId="0" fillId="0" borderId="2" xfId="0" applyBorder="1"/>
    <xf numFmtId="0" fontId="22" fillId="0" borderId="0" xfId="0" applyFont="1" applyAlignment="1">
      <alignment horizontal="center" wrapText="1"/>
    </xf>
    <xf numFmtId="0" fontId="22" fillId="0" borderId="2" xfId="0" applyFont="1" applyBorder="1" applyAlignment="1">
      <alignment horizontal="center" vertical="center"/>
    </xf>
    <xf numFmtId="2" fontId="22" fillId="0" borderId="2" xfId="0" applyNumberFormat="1" applyFont="1" applyBorder="1" applyAlignment="1">
      <alignment horizontal="center" vertical="center"/>
    </xf>
    <xf numFmtId="0" fontId="0" fillId="0" borderId="0" xfId="0" applyBorder="1"/>
    <xf numFmtId="2" fontId="0" fillId="0" borderId="0" xfId="0" applyNumberFormat="1"/>
    <xf numFmtId="0" fontId="22" fillId="0" borderId="2" xfId="0" applyFont="1" applyBorder="1" applyAlignment="1">
      <alignment wrapText="1"/>
    </xf>
    <xf numFmtId="2" fontId="0" fillId="0" borderId="2" xfId="0" applyNumberFormat="1" applyBorder="1"/>
    <xf numFmtId="2" fontId="0" fillId="0" borderId="0" xfId="0" applyNumberFormat="1" applyAlignment="1">
      <alignment horizontal="center"/>
    </xf>
    <xf numFmtId="0" fontId="23" fillId="0" borderId="2" xfId="0" applyFont="1" applyBorder="1" applyAlignment="1">
      <alignment horizontal="left" vertical="center" wrapText="1"/>
    </xf>
    <xf numFmtId="2" fontId="23" fillId="0" borderId="2" xfId="0" applyNumberFormat="1" applyFont="1" applyBorder="1" applyAlignment="1">
      <alignment horizontal="center"/>
    </xf>
    <xf numFmtId="2" fontId="23" fillId="0" borderId="2" xfId="0" applyNumberFormat="1" applyFont="1" applyBorder="1" applyAlignment="1">
      <alignment horizontal="center" vertical="center"/>
    </xf>
    <xf numFmtId="0" fontId="23" fillId="3" borderId="2" xfId="0" applyFont="1" applyFill="1" applyBorder="1" applyAlignment="1">
      <alignment wrapText="1"/>
    </xf>
    <xf numFmtId="2" fontId="22" fillId="3" borderId="2" xfId="0" applyNumberFormat="1" applyFont="1" applyFill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22" fillId="0" borderId="0" xfId="0" applyNumberFormat="1" applyFont="1" applyBorder="1" applyAlignment="1">
      <alignment horizontal="center"/>
    </xf>
    <xf numFmtId="2" fontId="22" fillId="0" borderId="2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28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28" fillId="3" borderId="2" xfId="0" applyFont="1" applyFill="1" applyBorder="1" applyAlignment="1">
      <alignment horizontal="center" vertical="center" wrapText="1"/>
    </xf>
    <xf numFmtId="0" fontId="28" fillId="3" borderId="3" xfId="0" applyFont="1" applyFill="1" applyBorder="1" applyAlignment="1">
      <alignment horizontal="center" vertical="center"/>
    </xf>
    <xf numFmtId="0" fontId="28" fillId="3" borderId="2" xfId="0" applyFont="1" applyFill="1" applyBorder="1" applyAlignment="1">
      <alignment horizontal="center" vertical="center"/>
    </xf>
    <xf numFmtId="0" fontId="22" fillId="0" borderId="0" xfId="0" applyFont="1" applyBorder="1" applyAlignment="1">
      <alignment vertical="center" wrapText="1"/>
    </xf>
    <xf numFmtId="0" fontId="27" fillId="0" borderId="0" xfId="0" applyFont="1"/>
    <xf numFmtId="0" fontId="33" fillId="4" borderId="2" xfId="0" applyFont="1" applyFill="1" applyBorder="1"/>
    <xf numFmtId="2" fontId="33" fillId="4" borderId="2" xfId="0" applyNumberFormat="1" applyFont="1" applyFill="1" applyBorder="1"/>
    <xf numFmtId="0" fontId="34" fillId="4" borderId="2" xfId="0" applyFont="1" applyFill="1" applyBorder="1" applyAlignment="1">
      <alignment wrapText="1"/>
    </xf>
    <xf numFmtId="0" fontId="33" fillId="4" borderId="2" xfId="0" applyFont="1" applyFill="1" applyBorder="1" applyAlignment="1">
      <alignment horizontal="left"/>
    </xf>
    <xf numFmtId="2" fontId="33" fillId="4" borderId="2" xfId="0" applyNumberFormat="1" applyFont="1" applyFill="1" applyBorder="1" applyAlignment="1">
      <alignment horizontal="left"/>
    </xf>
    <xf numFmtId="0" fontId="25" fillId="0" borderId="2" xfId="1" applyBorder="1"/>
    <xf numFmtId="2" fontId="25" fillId="0" borderId="2" xfId="1" applyNumberFormat="1" applyBorder="1"/>
    <xf numFmtId="2" fontId="19" fillId="0" borderId="2" xfId="1" applyNumberFormat="1" applyFont="1" applyBorder="1"/>
    <xf numFmtId="0" fontId="19" fillId="0" borderId="2" xfId="1" applyFont="1" applyBorder="1"/>
    <xf numFmtId="0" fontId="0" fillId="0" borderId="2" xfId="0" applyBorder="1" applyAlignment="1">
      <alignment horizontal="right"/>
    </xf>
    <xf numFmtId="2" fontId="33" fillId="0" borderId="2" xfId="0" applyNumberFormat="1" applyFont="1" applyBorder="1"/>
    <xf numFmtId="2" fontId="33" fillId="0" borderId="2" xfId="0" applyNumberFormat="1" applyFont="1" applyBorder="1" applyAlignment="1">
      <alignment horizontal="center"/>
    </xf>
    <xf numFmtId="0" fontId="22" fillId="3" borderId="3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/>
    <xf numFmtId="1" fontId="22" fillId="3" borderId="2" xfId="0" applyNumberFormat="1" applyFont="1" applyFill="1" applyBorder="1" applyAlignment="1">
      <alignment horizontal="right"/>
    </xf>
    <xf numFmtId="1" fontId="22" fillId="3" borderId="2" xfId="0" applyNumberFormat="1" applyFont="1" applyFill="1" applyBorder="1"/>
    <xf numFmtId="0" fontId="22" fillId="3" borderId="2" xfId="0" applyFont="1" applyFill="1" applyBorder="1"/>
    <xf numFmtId="1" fontId="22" fillId="3" borderId="2" xfId="0" applyNumberFormat="1" applyFont="1" applyFill="1" applyBorder="1" applyAlignment="1">
      <alignment horizontal="right" wrapText="1"/>
    </xf>
    <xf numFmtId="2" fontId="23" fillId="3" borderId="2" xfId="0" applyNumberFormat="1" applyFont="1" applyFill="1" applyBorder="1" applyAlignment="1">
      <alignment horizontal="center" wrapText="1"/>
    </xf>
    <xf numFmtId="2" fontId="22" fillId="0" borderId="2" xfId="0" applyNumberFormat="1" applyFont="1" applyBorder="1"/>
    <xf numFmtId="2" fontId="22" fillId="0" borderId="2" xfId="0" applyNumberFormat="1" applyFont="1" applyBorder="1" applyAlignment="1">
      <alignment horizontal="center"/>
    </xf>
    <xf numFmtId="2" fontId="23" fillId="3" borderId="2" xfId="0" applyNumberFormat="1" applyFont="1" applyFill="1" applyBorder="1" applyAlignment="1">
      <alignment horizontal="center"/>
    </xf>
    <xf numFmtId="2" fontId="19" fillId="3" borderId="2" xfId="0" applyNumberFormat="1" applyFont="1" applyFill="1" applyBorder="1" applyAlignment="1">
      <alignment horizontal="center"/>
    </xf>
    <xf numFmtId="2" fontId="22" fillId="3" borderId="2" xfId="0" applyNumberFormat="1" applyFont="1" applyFill="1" applyBorder="1" applyAlignment="1">
      <alignment horizontal="center" wrapText="1"/>
    </xf>
    <xf numFmtId="0" fontId="22" fillId="0" borderId="2" xfId="0" applyFont="1" applyBorder="1" applyAlignment="1">
      <alignment horizontal="left" wrapText="1"/>
    </xf>
    <xf numFmtId="0" fontId="3" fillId="0" borderId="2" xfId="0" applyFont="1" applyBorder="1" applyAlignment="1">
      <alignment wrapText="1"/>
    </xf>
    <xf numFmtId="2" fontId="27" fillId="0" borderId="2" xfId="0" applyNumberFormat="1" applyFont="1" applyBorder="1" applyAlignment="1">
      <alignment horizontal="center"/>
    </xf>
    <xf numFmtId="0" fontId="27" fillId="0" borderId="2" xfId="0" applyFont="1" applyBorder="1" applyAlignment="1">
      <alignment wrapText="1"/>
    </xf>
    <xf numFmtId="0" fontId="27" fillId="0" borderId="2" xfId="0" applyFont="1" applyBorder="1"/>
    <xf numFmtId="0" fontId="24" fillId="0" borderId="2" xfId="0" applyFont="1" applyBorder="1" applyAlignment="1">
      <alignment horizontal="center" wrapText="1"/>
    </xf>
    <xf numFmtId="2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2" fontId="0" fillId="0" borderId="0" xfId="0" applyNumberFormat="1" applyAlignment="1">
      <alignment horizontal="left"/>
    </xf>
    <xf numFmtId="0" fontId="23" fillId="0" borderId="2" xfId="0" applyFont="1" applyBorder="1" applyAlignment="1">
      <alignment horizontal="left" vertical="center"/>
    </xf>
    <xf numFmtId="0" fontId="9" fillId="0" borderId="2" xfId="0" applyFont="1" applyBorder="1"/>
    <xf numFmtId="0" fontId="21" fillId="0" borderId="2" xfId="0" applyFont="1" applyBorder="1"/>
    <xf numFmtId="2" fontId="21" fillId="0" borderId="2" xfId="0" applyNumberFormat="1" applyFont="1" applyBorder="1" applyAlignment="1">
      <alignment horizontal="center"/>
    </xf>
    <xf numFmtId="0" fontId="36" fillId="0" borderId="2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/>
    </xf>
    <xf numFmtId="2" fontId="3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0" fontId="8" fillId="0" borderId="2" xfId="0" applyFont="1" applyBorder="1"/>
    <xf numFmtId="2" fontId="8" fillId="3" borderId="2" xfId="0" applyNumberFormat="1" applyFont="1" applyFill="1" applyBorder="1" applyAlignment="1">
      <alignment horizontal="center"/>
    </xf>
    <xf numFmtId="2" fontId="22" fillId="3" borderId="3" xfId="0" applyNumberFormat="1" applyFont="1" applyFill="1" applyBorder="1" applyAlignment="1">
      <alignment horizontal="center" vertical="center"/>
    </xf>
    <xf numFmtId="2" fontId="22" fillId="3" borderId="3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Border="1"/>
    <xf numFmtId="1" fontId="0" fillId="0" borderId="0" xfId="0" applyNumberFormat="1"/>
    <xf numFmtId="2" fontId="20" fillId="0" borderId="2" xfId="0" applyNumberFormat="1" applyFont="1" applyBorder="1" applyAlignment="1">
      <alignment horizontal="center"/>
    </xf>
    <xf numFmtId="0" fontId="20" fillId="0" borderId="0" xfId="0" applyFont="1"/>
    <xf numFmtId="2" fontId="23" fillId="0" borderId="2" xfId="0" applyNumberFormat="1" applyFont="1" applyFill="1" applyBorder="1" applyAlignment="1">
      <alignment horizontal="center"/>
    </xf>
    <xf numFmtId="0" fontId="20" fillId="0" borderId="2" xfId="0" applyFont="1" applyBorder="1"/>
    <xf numFmtId="2" fontId="8" fillId="0" borderId="4" xfId="0" applyNumberFormat="1" applyFont="1" applyBorder="1" applyAlignment="1">
      <alignment horizontal="center"/>
    </xf>
    <xf numFmtId="2" fontId="22" fillId="0" borderId="4" xfId="0" applyNumberFormat="1" applyFont="1" applyBorder="1" applyAlignment="1">
      <alignment horizontal="center" wrapText="1"/>
    </xf>
    <xf numFmtId="2" fontId="21" fillId="0" borderId="4" xfId="0" applyNumberFormat="1" applyFont="1" applyBorder="1" applyAlignment="1">
      <alignment horizontal="center"/>
    </xf>
    <xf numFmtId="2" fontId="23" fillId="0" borderId="4" xfId="0" applyNumberFormat="1" applyFont="1" applyBorder="1" applyAlignment="1">
      <alignment horizontal="center" wrapText="1"/>
    </xf>
    <xf numFmtId="0" fontId="23" fillId="3" borderId="2" xfId="0" applyFont="1" applyFill="1" applyBorder="1" applyAlignment="1"/>
    <xf numFmtId="0" fontId="23" fillId="3" borderId="2" xfId="0" applyFont="1" applyFill="1" applyBorder="1" applyAlignment="1">
      <alignment horizontal="left" wrapText="1"/>
    </xf>
    <xf numFmtId="0" fontId="23" fillId="3" borderId="2" xfId="0" applyFont="1" applyFill="1" applyBorder="1" applyAlignment="1">
      <alignment horizontal="left"/>
    </xf>
    <xf numFmtId="0" fontId="31" fillId="3" borderId="2" xfId="0" applyFont="1" applyFill="1" applyBorder="1" applyAlignment="1">
      <alignment horizontal="left"/>
    </xf>
    <xf numFmtId="2" fontId="22" fillId="0" borderId="2" xfId="0" applyNumberFormat="1" applyFont="1" applyBorder="1" applyAlignment="1">
      <alignment horizontal="center" wrapText="1"/>
    </xf>
    <xf numFmtId="2" fontId="23" fillId="0" borderId="2" xfId="0" applyNumberFormat="1" applyFont="1" applyBorder="1" applyAlignment="1">
      <alignment horizontal="center" wrapText="1"/>
    </xf>
    <xf numFmtId="2" fontId="0" fillId="3" borderId="0" xfId="0" applyNumberFormat="1" applyFill="1" applyAlignment="1">
      <alignment horizontal="center"/>
    </xf>
    <xf numFmtId="0" fontId="22" fillId="3" borderId="2" xfId="0" applyFont="1" applyFill="1" applyBorder="1" applyAlignment="1">
      <alignment wrapText="1"/>
    </xf>
    <xf numFmtId="0" fontId="22" fillId="0" borderId="2" xfId="0" applyNumberFormat="1" applyFont="1" applyBorder="1" applyAlignment="1">
      <alignment wrapText="1"/>
    </xf>
    <xf numFmtId="0" fontId="0" fillId="5" borderId="0" xfId="0" applyFill="1"/>
    <xf numFmtId="2" fontId="0" fillId="5" borderId="0" xfId="0" applyNumberFormat="1" applyFill="1"/>
    <xf numFmtId="2" fontId="20" fillId="0" borderId="0" xfId="0" applyNumberFormat="1" applyFont="1" applyAlignment="1">
      <alignment horizontal="center"/>
    </xf>
    <xf numFmtId="167" fontId="0" fillId="0" borderId="0" xfId="0" applyNumberFormat="1"/>
    <xf numFmtId="0" fontId="8" fillId="0" borderId="2" xfId="0" applyFont="1" applyFill="1" applyBorder="1"/>
    <xf numFmtId="0" fontId="22" fillId="3" borderId="2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/>
    </xf>
    <xf numFmtId="2" fontId="30" fillId="3" borderId="2" xfId="0" applyNumberFormat="1" applyFont="1" applyFill="1" applyBorder="1" applyAlignment="1">
      <alignment horizontal="center" vertical="center"/>
    </xf>
    <xf numFmtId="2" fontId="25" fillId="3" borderId="2" xfId="0" applyNumberFormat="1" applyFont="1" applyFill="1" applyBorder="1" applyAlignment="1">
      <alignment horizontal="center" vertical="center"/>
    </xf>
    <xf numFmtId="2" fontId="22" fillId="3" borderId="2" xfId="0" applyNumberFormat="1" applyFont="1" applyFill="1" applyBorder="1" applyAlignment="1">
      <alignment horizontal="center" vertical="center"/>
    </xf>
    <xf numFmtId="2" fontId="19" fillId="3" borderId="2" xfId="0" applyNumberFormat="1" applyFont="1" applyFill="1" applyBorder="1" applyAlignment="1">
      <alignment horizontal="center" vertical="center"/>
    </xf>
    <xf numFmtId="0" fontId="22" fillId="3" borderId="0" xfId="0" applyFont="1" applyFill="1" applyAlignment="1">
      <alignment horizontal="center" wrapText="1"/>
    </xf>
    <xf numFmtId="0" fontId="32" fillId="3" borderId="2" xfId="0" applyFont="1" applyFill="1" applyBorder="1" applyAlignment="1">
      <alignment wrapText="1"/>
    </xf>
    <xf numFmtId="0" fontId="23" fillId="0" borderId="4" xfId="0" applyFont="1" applyBorder="1" applyAlignment="1">
      <alignment horizontal="center" vertical="top" wrapText="1"/>
    </xf>
    <xf numFmtId="0" fontId="29" fillId="3" borderId="2" xfId="0" applyFont="1" applyFill="1" applyBorder="1" applyAlignment="1">
      <alignment horizontal="center" wrapText="1"/>
    </xf>
    <xf numFmtId="2" fontId="28" fillId="3" borderId="2" xfId="0" applyNumberFormat="1" applyFont="1" applyFill="1" applyBorder="1" applyAlignment="1">
      <alignment horizontal="center" vertical="center"/>
    </xf>
    <xf numFmtId="0" fontId="31" fillId="3" borderId="2" xfId="0" applyFont="1" applyFill="1" applyBorder="1" applyAlignment="1">
      <alignment horizontal="left" vertical="center" wrapText="1"/>
    </xf>
    <xf numFmtId="0" fontId="26" fillId="3" borderId="2" xfId="0" applyFont="1" applyFill="1" applyBorder="1" applyAlignment="1">
      <alignment horizontal="center" wrapText="1"/>
    </xf>
    <xf numFmtId="2" fontId="0" fillId="3" borderId="2" xfId="0" applyNumberFormat="1" applyFill="1" applyBorder="1" applyAlignment="1">
      <alignment horizontal="center" vertical="center"/>
    </xf>
    <xf numFmtId="0" fontId="0" fillId="3" borderId="0" xfId="0" applyFill="1" applyBorder="1"/>
    <xf numFmtId="1" fontId="22" fillId="3" borderId="0" xfId="0" applyNumberFormat="1" applyFont="1" applyFill="1" applyBorder="1" applyAlignment="1">
      <alignment horizontal="center"/>
    </xf>
    <xf numFmtId="2" fontId="22" fillId="3" borderId="0" xfId="0" applyNumberFormat="1" applyFont="1" applyFill="1" applyBorder="1" applyAlignment="1">
      <alignment horizontal="center" vertical="center"/>
    </xf>
    <xf numFmtId="2" fontId="0" fillId="3" borderId="0" xfId="0" applyNumberFormat="1" applyFill="1"/>
    <xf numFmtId="2" fontId="8" fillId="0" borderId="2" xfId="0" applyNumberFormat="1" applyFont="1" applyBorder="1" applyAlignment="1">
      <alignment horizontal="center" wrapText="1"/>
    </xf>
    <xf numFmtId="2" fontId="0" fillId="0" borderId="2" xfId="0" applyNumberFormat="1" applyBorder="1" applyAlignment="1">
      <alignment horizontal="center" wrapText="1"/>
    </xf>
    <xf numFmtId="2" fontId="20" fillId="0" borderId="0" xfId="0" applyNumberFormat="1" applyFont="1"/>
    <xf numFmtId="0" fontId="22" fillId="3" borderId="2" xfId="0" applyFont="1" applyFill="1" applyBorder="1" applyAlignment="1">
      <alignment horizontal="left"/>
    </xf>
    <xf numFmtId="2" fontId="27" fillId="0" borderId="0" xfId="0" applyNumberFormat="1" applyFont="1" applyAlignment="1">
      <alignment horizontal="center"/>
    </xf>
    <xf numFmtId="2" fontId="27" fillId="0" borderId="0" xfId="0" applyNumberFormat="1" applyFont="1"/>
    <xf numFmtId="2" fontId="30" fillId="3" borderId="2" xfId="0" applyNumberFormat="1" applyFont="1" applyFill="1" applyBorder="1" applyAlignment="1">
      <alignment horizontal="center"/>
    </xf>
    <xf numFmtId="0" fontId="27" fillId="3" borderId="2" xfId="0" applyFont="1" applyFill="1" applyBorder="1"/>
    <xf numFmtId="2" fontId="27" fillId="3" borderId="2" xfId="0" applyNumberFormat="1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/>
    <xf numFmtId="0" fontId="20" fillId="3" borderId="0" xfId="0" applyFont="1" applyFill="1"/>
    <xf numFmtId="2" fontId="20" fillId="3" borderId="0" xfId="0" applyNumberFormat="1" applyFont="1" applyFill="1" applyAlignment="1">
      <alignment horizontal="center"/>
    </xf>
    <xf numFmtId="0" fontId="27" fillId="3" borderId="0" xfId="0" applyFont="1" applyFill="1"/>
    <xf numFmtId="2" fontId="23" fillId="3" borderId="2" xfId="0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vertical="center" wrapText="1"/>
    </xf>
    <xf numFmtId="0" fontId="23" fillId="0" borderId="2" xfId="0" applyFont="1" applyBorder="1" applyAlignment="1">
      <alignment horizontal="center" vertical="top" wrapText="1"/>
    </xf>
    <xf numFmtId="0" fontId="22" fillId="0" borderId="0" xfId="0" applyFont="1" applyAlignment="1">
      <alignment horizontal="center"/>
    </xf>
    <xf numFmtId="1" fontId="23" fillId="0" borderId="2" xfId="0" applyNumberFormat="1" applyFont="1" applyBorder="1" applyAlignment="1">
      <alignment horizontal="center" vertical="top" wrapText="1"/>
    </xf>
    <xf numFmtId="1" fontId="23" fillId="0" borderId="2" xfId="0" applyNumberFormat="1" applyFont="1" applyBorder="1" applyAlignment="1">
      <alignment horizontal="center"/>
    </xf>
    <xf numFmtId="0" fontId="23" fillId="0" borderId="2" xfId="0" applyFont="1" applyBorder="1" applyAlignment="1">
      <alignment horizontal="center" wrapText="1"/>
    </xf>
    <xf numFmtId="1" fontId="23" fillId="0" borderId="2" xfId="0" applyNumberFormat="1" applyFont="1" applyBorder="1" applyAlignment="1">
      <alignment horizontal="center" wrapText="1"/>
    </xf>
    <xf numFmtId="1" fontId="23" fillId="3" borderId="2" xfId="0" applyNumberFormat="1" applyFont="1" applyFill="1" applyBorder="1" applyAlignment="1">
      <alignment horizontal="center" wrapText="1"/>
    </xf>
    <xf numFmtId="0" fontId="37" fillId="0" borderId="4" xfId="0" applyFont="1" applyBorder="1" applyAlignment="1">
      <alignment horizontal="center" vertical="center" wrapText="1"/>
    </xf>
    <xf numFmtId="0" fontId="3" fillId="0" borderId="2" xfId="0" applyFont="1" applyBorder="1"/>
    <xf numFmtId="1" fontId="27" fillId="0" borderId="2" xfId="0" applyNumberFormat="1" applyFont="1" applyBorder="1" applyAlignment="1"/>
    <xf numFmtId="0" fontId="27" fillId="0" borderId="2" xfId="0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" fontId="27" fillId="0" borderId="2" xfId="0" applyNumberFormat="1" applyFont="1" applyBorder="1" applyAlignment="1">
      <alignment horizontal="center"/>
    </xf>
    <xf numFmtId="1" fontId="27" fillId="5" borderId="0" xfId="0" applyNumberFormat="1" applyFont="1" applyFill="1" applyAlignment="1">
      <alignment horizontal="center"/>
    </xf>
    <xf numFmtId="0" fontId="25" fillId="0" borderId="0" xfId="2"/>
    <xf numFmtId="0" fontId="25" fillId="4" borderId="2" xfId="2" applyFill="1" applyBorder="1"/>
    <xf numFmtId="0" fontId="25" fillId="4" borderId="2" xfId="2" applyFont="1" applyFill="1" applyBorder="1"/>
    <xf numFmtId="0" fontId="25" fillId="4" borderId="2" xfId="2" applyFont="1" applyFill="1" applyBorder="1" applyAlignment="1">
      <alignment horizontal="center"/>
    </xf>
    <xf numFmtId="2" fontId="25" fillId="4" borderId="2" xfId="2" applyNumberFormat="1" applyFill="1" applyBorder="1" applyAlignment="1">
      <alignment horizontal="center"/>
    </xf>
    <xf numFmtId="0" fontId="25" fillId="4" borderId="2" xfId="2" applyFill="1" applyBorder="1" applyAlignment="1">
      <alignment horizontal="center"/>
    </xf>
    <xf numFmtId="10" fontId="25" fillId="4" borderId="2" xfId="2" applyNumberFormat="1" applyFill="1" applyBorder="1" applyAlignment="1">
      <alignment horizontal="center"/>
    </xf>
    <xf numFmtId="2" fontId="25" fillId="4" borderId="2" xfId="2" applyNumberFormat="1" applyFont="1" applyFill="1" applyBorder="1"/>
    <xf numFmtId="2" fontId="25" fillId="4" borderId="2" xfId="2" applyNumberFormat="1" applyFill="1" applyBorder="1"/>
    <xf numFmtId="2" fontId="19" fillId="4" borderId="4" xfId="2" applyNumberFormat="1" applyFont="1" applyFill="1" applyBorder="1"/>
    <xf numFmtId="0" fontId="25" fillId="4" borderId="0" xfId="2" applyFill="1"/>
    <xf numFmtId="0" fontId="25" fillId="4" borderId="5" xfId="2" applyFill="1" applyBorder="1"/>
    <xf numFmtId="0" fontId="25" fillId="4" borderId="1" xfId="2" applyFill="1" applyBorder="1"/>
    <xf numFmtId="0" fontId="25" fillId="4" borderId="3" xfId="2" applyFont="1" applyFill="1" applyBorder="1" applyAlignment="1">
      <alignment horizontal="center"/>
    </xf>
    <xf numFmtId="2" fontId="25" fillId="4" borderId="3" xfId="2" applyNumberFormat="1" applyFill="1" applyBorder="1" applyAlignment="1">
      <alignment horizontal="center"/>
    </xf>
    <xf numFmtId="0" fontId="25" fillId="4" borderId="3" xfId="2" applyFill="1" applyBorder="1" applyAlignment="1">
      <alignment horizontal="center"/>
    </xf>
    <xf numFmtId="10" fontId="25" fillId="4" borderId="3" xfId="2" applyNumberFormat="1" applyFill="1" applyBorder="1" applyAlignment="1">
      <alignment horizontal="center"/>
    </xf>
    <xf numFmtId="2" fontId="25" fillId="4" borderId="3" xfId="2" applyNumberFormat="1" applyFont="1" applyFill="1" applyBorder="1"/>
    <xf numFmtId="2" fontId="25" fillId="4" borderId="3" xfId="2" applyNumberFormat="1" applyFill="1" applyBorder="1"/>
    <xf numFmtId="2" fontId="19" fillId="4" borderId="6" xfId="2" applyNumberFormat="1" applyFont="1" applyFill="1" applyBorder="1"/>
    <xf numFmtId="0" fontId="25" fillId="4" borderId="7" xfId="2" applyFill="1" applyBorder="1"/>
    <xf numFmtId="0" fontId="25" fillId="4" borderId="8" xfId="2" applyFill="1" applyBorder="1"/>
    <xf numFmtId="0" fontId="25" fillId="4" borderId="9" xfId="2" applyFill="1" applyBorder="1"/>
    <xf numFmtId="0" fontId="40" fillId="0" borderId="7" xfId="2" applyFont="1" applyFill="1" applyBorder="1"/>
    <xf numFmtId="0" fontId="40" fillId="0" borderId="8" xfId="2" applyFont="1" applyFill="1" applyBorder="1"/>
    <xf numFmtId="0" fontId="40" fillId="0" borderId="2" xfId="2" applyFont="1" applyFill="1" applyBorder="1" applyAlignment="1">
      <alignment horizontal="center"/>
    </xf>
    <xf numFmtId="2" fontId="40" fillId="0" borderId="2" xfId="2" applyNumberFormat="1" applyFont="1" applyFill="1" applyBorder="1" applyAlignment="1">
      <alignment horizontal="center"/>
    </xf>
    <xf numFmtId="0" fontId="41" fillId="0" borderId="2" xfId="2" applyFont="1" applyFill="1" applyBorder="1" applyAlignment="1">
      <alignment horizontal="center"/>
    </xf>
    <xf numFmtId="10" fontId="41" fillId="0" borderId="3" xfId="2" applyNumberFormat="1" applyFont="1" applyFill="1" applyBorder="1" applyAlignment="1">
      <alignment horizontal="center"/>
    </xf>
    <xf numFmtId="2" fontId="41" fillId="0" borderId="3" xfId="2" applyNumberFormat="1" applyFont="1" applyFill="1" applyBorder="1"/>
    <xf numFmtId="2" fontId="41" fillId="0" borderId="2" xfId="2" applyNumberFormat="1" applyFont="1" applyFill="1" applyBorder="1"/>
    <xf numFmtId="2" fontId="42" fillId="0" borderId="6" xfId="2" applyNumberFormat="1" applyFont="1" applyFill="1" applyBorder="1"/>
    <xf numFmtId="2" fontId="42" fillId="0" borderId="4" xfId="2" applyNumberFormat="1" applyFont="1" applyFill="1" applyBorder="1"/>
    <xf numFmtId="0" fontId="41" fillId="0" borderId="2" xfId="2" applyFont="1" applyBorder="1"/>
    <xf numFmtId="0" fontId="41" fillId="0" borderId="0" xfId="2" applyFont="1" applyFill="1"/>
    <xf numFmtId="0" fontId="25" fillId="6" borderId="7" xfId="2" applyFill="1" applyBorder="1"/>
    <xf numFmtId="0" fontId="25" fillId="6" borderId="8" xfId="2" applyFont="1" applyFill="1" applyBorder="1"/>
    <xf numFmtId="0" fontId="25" fillId="6" borderId="2" xfId="2" applyFont="1" applyFill="1" applyBorder="1" applyAlignment="1">
      <alignment horizontal="center"/>
    </xf>
    <xf numFmtId="2" fontId="25" fillId="6" borderId="2" xfId="2" applyNumberFormat="1" applyFill="1" applyBorder="1" applyAlignment="1">
      <alignment horizontal="center"/>
    </xf>
    <xf numFmtId="0" fontId="25" fillId="6" borderId="2" xfId="2" applyFill="1" applyBorder="1" applyAlignment="1">
      <alignment horizontal="center"/>
    </xf>
    <xf numFmtId="10" fontId="25" fillId="6" borderId="3" xfId="2" applyNumberFormat="1" applyFill="1" applyBorder="1" applyAlignment="1">
      <alignment horizontal="center"/>
    </xf>
    <xf numFmtId="2" fontId="25" fillId="6" borderId="3" xfId="2" applyNumberFormat="1" applyFont="1" applyFill="1" applyBorder="1"/>
    <xf numFmtId="2" fontId="25" fillId="6" borderId="2" xfId="2" applyNumberFormat="1" applyFont="1" applyFill="1" applyBorder="1"/>
    <xf numFmtId="2" fontId="19" fillId="6" borderId="6" xfId="2" applyNumberFormat="1" applyFont="1" applyFill="1" applyBorder="1"/>
    <xf numFmtId="2" fontId="19" fillId="6" borderId="4" xfId="2" applyNumberFormat="1" applyFont="1" applyFill="1" applyBorder="1"/>
    <xf numFmtId="0" fontId="25" fillId="6" borderId="2" xfId="2" applyFill="1" applyBorder="1"/>
    <xf numFmtId="0" fontId="25" fillId="6" borderId="0" xfId="2" applyFill="1"/>
    <xf numFmtId="0" fontId="25" fillId="6" borderId="10" xfId="2" applyFill="1" applyBorder="1"/>
    <xf numFmtId="0" fontId="25" fillId="6" borderId="11" xfId="2" applyFont="1" applyFill="1" applyBorder="1"/>
    <xf numFmtId="0" fontId="25" fillId="6" borderId="12" xfId="2" applyFill="1" applyBorder="1"/>
    <xf numFmtId="0" fontId="25" fillId="6" borderId="8" xfId="2" applyFill="1" applyBorder="1"/>
    <xf numFmtId="0" fontId="25" fillId="6" borderId="5" xfId="2" applyFill="1" applyBorder="1"/>
    <xf numFmtId="0" fontId="40" fillId="0" borderId="5" xfId="2" applyFont="1" applyFill="1" applyBorder="1"/>
    <xf numFmtId="0" fontId="41" fillId="0" borderId="8" xfId="2" applyFont="1" applyFill="1" applyBorder="1"/>
    <xf numFmtId="0" fontId="25" fillId="7" borderId="7" xfId="2" applyFill="1" applyBorder="1"/>
    <xf numFmtId="0" fontId="25" fillId="7" borderId="8" xfId="2" applyFill="1" applyBorder="1"/>
    <xf numFmtId="0" fontId="25" fillId="7" borderId="2" xfId="2" applyFont="1" applyFill="1" applyBorder="1" applyAlignment="1">
      <alignment horizontal="center"/>
    </xf>
    <xf numFmtId="2" fontId="25" fillId="7" borderId="2" xfId="2" applyNumberFormat="1" applyFill="1" applyBorder="1" applyAlignment="1">
      <alignment horizontal="center"/>
    </xf>
    <xf numFmtId="0" fontId="25" fillId="7" borderId="2" xfId="2" applyFill="1" applyBorder="1" applyAlignment="1">
      <alignment horizontal="center"/>
    </xf>
    <xf numFmtId="10" fontId="25" fillId="7" borderId="3" xfId="2" applyNumberFormat="1" applyFill="1" applyBorder="1" applyAlignment="1">
      <alignment horizontal="center"/>
    </xf>
    <xf numFmtId="2" fontId="25" fillId="7" borderId="3" xfId="2" applyNumberFormat="1" applyFont="1" applyFill="1" applyBorder="1"/>
    <xf numFmtId="2" fontId="25" fillId="7" borderId="2" xfId="2" applyNumberFormat="1" applyFont="1" applyFill="1" applyBorder="1"/>
    <xf numFmtId="2" fontId="19" fillId="7" borderId="6" xfId="2" applyNumberFormat="1" applyFont="1" applyFill="1" applyBorder="1"/>
    <xf numFmtId="2" fontId="19" fillId="7" borderId="4" xfId="2" applyNumberFormat="1" applyFont="1" applyFill="1" applyBorder="1"/>
    <xf numFmtId="0" fontId="25" fillId="7" borderId="2" xfId="2" applyFill="1" applyBorder="1"/>
    <xf numFmtId="0" fontId="25" fillId="7" borderId="0" xfId="2" applyFill="1"/>
    <xf numFmtId="0" fontId="25" fillId="8" borderId="7" xfId="2" applyFont="1" applyFill="1" applyBorder="1"/>
    <xf numFmtId="0" fontId="25" fillId="8" borderId="8" xfId="2" applyFont="1" applyFill="1" applyBorder="1"/>
    <xf numFmtId="0" fontId="25" fillId="8" borderId="2" xfId="2" applyFont="1" applyFill="1" applyBorder="1" applyAlignment="1">
      <alignment horizontal="center"/>
    </xf>
    <xf numFmtId="2" fontId="25" fillId="8" borderId="2" xfId="2" applyNumberFormat="1" applyFont="1" applyFill="1" applyBorder="1" applyAlignment="1">
      <alignment horizontal="center"/>
    </xf>
    <xf numFmtId="0" fontId="25" fillId="8" borderId="2" xfId="2" applyFill="1" applyBorder="1" applyAlignment="1">
      <alignment horizontal="center"/>
    </xf>
    <xf numFmtId="10" fontId="25" fillId="8" borderId="3" xfId="2" applyNumberFormat="1" applyFill="1" applyBorder="1" applyAlignment="1">
      <alignment horizontal="center"/>
    </xf>
    <xf numFmtId="2" fontId="25" fillId="8" borderId="3" xfId="2" applyNumberFormat="1" applyFont="1" applyFill="1" applyBorder="1"/>
    <xf numFmtId="2" fontId="25" fillId="8" borderId="2" xfId="2" applyNumberFormat="1" applyFont="1" applyFill="1" applyBorder="1"/>
    <xf numFmtId="2" fontId="19" fillId="8" borderId="6" xfId="2" applyNumberFormat="1" applyFont="1" applyFill="1" applyBorder="1"/>
    <xf numFmtId="2" fontId="19" fillId="8" borderId="4" xfId="2" applyNumberFormat="1" applyFont="1" applyFill="1" applyBorder="1"/>
    <xf numFmtId="0" fontId="25" fillId="8" borderId="2" xfId="2" applyFill="1" applyBorder="1"/>
    <xf numFmtId="0" fontId="25" fillId="8" borderId="0" xfId="2" applyFont="1" applyFill="1"/>
    <xf numFmtId="0" fontId="25" fillId="4" borderId="7" xfId="2" applyFont="1" applyFill="1" applyBorder="1"/>
    <xf numFmtId="0" fontId="25" fillId="4" borderId="8" xfId="2" applyFont="1" applyFill="1" applyBorder="1"/>
    <xf numFmtId="0" fontId="25" fillId="7" borderId="13" xfId="2" applyFill="1" applyBorder="1"/>
    <xf numFmtId="2" fontId="23" fillId="7" borderId="2" xfId="2" applyNumberFormat="1" applyFont="1" applyFill="1" applyBorder="1"/>
    <xf numFmtId="0" fontId="25" fillId="7" borderId="2" xfId="2" applyFont="1" applyFill="1" applyBorder="1"/>
    <xf numFmtId="0" fontId="25" fillId="7" borderId="2" xfId="2" applyFont="1" applyFill="1" applyBorder="1" applyAlignment="1">
      <alignment wrapText="1"/>
    </xf>
    <xf numFmtId="0" fontId="25" fillId="7" borderId="8" xfId="2" applyFont="1" applyFill="1" applyBorder="1"/>
    <xf numFmtId="0" fontId="25" fillId="9" borderId="7" xfId="2" applyFill="1" applyBorder="1"/>
    <xf numFmtId="0" fontId="25" fillId="9" borderId="2" xfId="2" applyFill="1" applyBorder="1"/>
    <xf numFmtId="0" fontId="25" fillId="9" borderId="2" xfId="2" applyFont="1" applyFill="1" applyBorder="1" applyAlignment="1">
      <alignment horizontal="center"/>
    </xf>
    <xf numFmtId="2" fontId="25" fillId="9" borderId="2" xfId="2" applyNumberFormat="1" applyFill="1" applyBorder="1" applyAlignment="1">
      <alignment horizontal="center"/>
    </xf>
    <xf numFmtId="0" fontId="25" fillId="9" borderId="2" xfId="2" applyFill="1" applyBorder="1" applyAlignment="1">
      <alignment horizontal="center"/>
    </xf>
    <xf numFmtId="10" fontId="25" fillId="9" borderId="3" xfId="2" applyNumberFormat="1" applyFill="1" applyBorder="1" applyAlignment="1">
      <alignment horizontal="center"/>
    </xf>
    <xf numFmtId="2" fontId="25" fillId="9" borderId="3" xfId="2" applyNumberFormat="1" applyFont="1" applyFill="1" applyBorder="1"/>
    <xf numFmtId="2" fontId="25" fillId="9" borderId="2" xfId="2" applyNumberFormat="1" applyFont="1" applyFill="1" applyBorder="1"/>
    <xf numFmtId="2" fontId="19" fillId="9" borderId="6" xfId="2" applyNumberFormat="1" applyFont="1" applyFill="1" applyBorder="1"/>
    <xf numFmtId="2" fontId="19" fillId="9" borderId="4" xfId="2" applyNumberFormat="1" applyFont="1" applyFill="1" applyBorder="1"/>
    <xf numFmtId="0" fontId="25" fillId="9" borderId="0" xfId="2" applyFill="1"/>
    <xf numFmtId="0" fontId="25" fillId="10" borderId="7" xfId="2" applyFill="1" applyBorder="1"/>
    <xf numFmtId="0" fontId="25" fillId="10" borderId="2" xfId="2" applyFill="1" applyBorder="1"/>
    <xf numFmtId="0" fontId="25" fillId="10" borderId="2" xfId="2" applyFont="1" applyFill="1" applyBorder="1" applyAlignment="1">
      <alignment horizontal="center"/>
    </xf>
    <xf numFmtId="2" fontId="25" fillId="10" borderId="2" xfId="2" applyNumberFormat="1" applyFill="1" applyBorder="1" applyAlignment="1">
      <alignment horizontal="center"/>
    </xf>
    <xf numFmtId="0" fontId="25" fillId="10" borderId="2" xfId="2" applyFill="1" applyBorder="1" applyAlignment="1">
      <alignment horizontal="center"/>
    </xf>
    <xf numFmtId="10" fontId="25" fillId="10" borderId="3" xfId="2" applyNumberFormat="1" applyFill="1" applyBorder="1" applyAlignment="1">
      <alignment horizontal="center"/>
    </xf>
    <xf numFmtId="2" fontId="25" fillId="10" borderId="3" xfId="2" applyNumberFormat="1" applyFont="1" applyFill="1" applyBorder="1"/>
    <xf numFmtId="2" fontId="25" fillId="10" borderId="2" xfId="2" applyNumberFormat="1" applyFont="1" applyFill="1" applyBorder="1"/>
    <xf numFmtId="2" fontId="19" fillId="10" borderId="6" xfId="2" applyNumberFormat="1" applyFont="1" applyFill="1" applyBorder="1"/>
    <xf numFmtId="2" fontId="19" fillId="10" borderId="4" xfId="2" applyNumberFormat="1" applyFont="1" applyFill="1" applyBorder="1"/>
    <xf numFmtId="0" fontId="25" fillId="10" borderId="0" xfId="2" applyFill="1"/>
    <xf numFmtId="0" fontId="25" fillId="11" borderId="9" xfId="2" applyFill="1" applyBorder="1"/>
    <xf numFmtId="0" fontId="25" fillId="11" borderId="2" xfId="2" applyFont="1" applyFill="1" applyBorder="1"/>
    <xf numFmtId="0" fontId="25" fillId="11" borderId="2" xfId="2" applyFont="1" applyFill="1" applyBorder="1" applyAlignment="1">
      <alignment horizontal="center"/>
    </xf>
    <xf numFmtId="2" fontId="25" fillId="11" borderId="2" xfId="2" applyNumberFormat="1" applyFill="1" applyBorder="1" applyAlignment="1">
      <alignment horizontal="center"/>
    </xf>
    <xf numFmtId="0" fontId="25" fillId="11" borderId="2" xfId="2" applyFill="1" applyBorder="1" applyAlignment="1">
      <alignment horizontal="center"/>
    </xf>
    <xf numFmtId="10" fontId="25" fillId="11" borderId="3" xfId="2" applyNumberFormat="1" applyFill="1" applyBorder="1" applyAlignment="1">
      <alignment horizontal="center"/>
    </xf>
    <xf numFmtId="2" fontId="25" fillId="11" borderId="3" xfId="2" applyNumberFormat="1" applyFont="1" applyFill="1" applyBorder="1"/>
    <xf numFmtId="2" fontId="25" fillId="11" borderId="2" xfId="2" applyNumberFormat="1" applyFont="1" applyFill="1" applyBorder="1"/>
    <xf numFmtId="2" fontId="19" fillId="11" borderId="6" xfId="2" applyNumberFormat="1" applyFont="1" applyFill="1" applyBorder="1"/>
    <xf numFmtId="2" fontId="19" fillId="11" borderId="4" xfId="2" applyNumberFormat="1" applyFont="1" applyFill="1" applyBorder="1"/>
    <xf numFmtId="0" fontId="25" fillId="11" borderId="2" xfId="2" applyFill="1" applyBorder="1"/>
    <xf numFmtId="0" fontId="25" fillId="11" borderId="0" xfId="2" applyFill="1"/>
    <xf numFmtId="0" fontId="25" fillId="11" borderId="7" xfId="2" applyFont="1" applyFill="1" applyBorder="1"/>
    <xf numFmtId="0" fontId="25" fillId="11" borderId="0" xfId="2" applyFont="1" applyFill="1"/>
    <xf numFmtId="0" fontId="25" fillId="11" borderId="7" xfId="2" applyFill="1" applyBorder="1"/>
    <xf numFmtId="0" fontId="25" fillId="10" borderId="2" xfId="2" applyFont="1" applyFill="1" applyBorder="1"/>
    <xf numFmtId="0" fontId="25" fillId="9" borderId="7" xfId="2" applyFont="1" applyFill="1" applyBorder="1"/>
    <xf numFmtId="0" fontId="25" fillId="9" borderId="2" xfId="2" applyFont="1" applyFill="1" applyBorder="1"/>
    <xf numFmtId="0" fontId="41" fillId="0" borderId="7" xfId="2" applyFont="1" applyFill="1" applyBorder="1"/>
    <xf numFmtId="0" fontId="41" fillId="0" borderId="2" xfId="2" applyFont="1" applyFill="1" applyBorder="1"/>
    <xf numFmtId="0" fontId="25" fillId="12" borderId="7" xfId="2" applyFill="1" applyBorder="1"/>
    <xf numFmtId="0" fontId="25" fillId="12" borderId="2" xfId="2" applyFont="1" applyFill="1" applyBorder="1"/>
    <xf numFmtId="0" fontId="25" fillId="12" borderId="2" xfId="2" applyFont="1" applyFill="1" applyBorder="1" applyAlignment="1">
      <alignment horizontal="center"/>
    </xf>
    <xf numFmtId="2" fontId="25" fillId="12" borderId="2" xfId="2" applyNumberFormat="1" applyFill="1" applyBorder="1" applyAlignment="1">
      <alignment horizontal="center"/>
    </xf>
    <xf numFmtId="0" fontId="25" fillId="12" borderId="2" xfId="2" applyFill="1" applyBorder="1" applyAlignment="1">
      <alignment horizontal="center"/>
    </xf>
    <xf numFmtId="10" fontId="25" fillId="12" borderId="3" xfId="2" applyNumberFormat="1" applyFill="1" applyBorder="1" applyAlignment="1">
      <alignment horizontal="center"/>
    </xf>
    <xf numFmtId="2" fontId="25" fillId="12" borderId="3" xfId="2" applyNumberFormat="1" applyFont="1" applyFill="1" applyBorder="1"/>
    <xf numFmtId="2" fontId="25" fillId="12" borderId="2" xfId="2" applyNumberFormat="1" applyFont="1" applyFill="1" applyBorder="1"/>
    <xf numFmtId="2" fontId="19" fillId="12" borderId="6" xfId="2" applyNumberFormat="1" applyFont="1" applyFill="1" applyBorder="1"/>
    <xf numFmtId="2" fontId="19" fillId="12" borderId="4" xfId="2" applyNumberFormat="1" applyFont="1" applyFill="1" applyBorder="1"/>
    <xf numFmtId="0" fontId="25" fillId="12" borderId="2" xfId="2" applyFill="1" applyBorder="1"/>
    <xf numFmtId="0" fontId="25" fillId="12" borderId="0" xfId="2" applyFill="1"/>
    <xf numFmtId="0" fontId="40" fillId="12" borderId="7" xfId="2" applyFont="1" applyFill="1" applyBorder="1"/>
    <xf numFmtId="0" fontId="23" fillId="0" borderId="7" xfId="2" applyFont="1" applyFill="1" applyBorder="1"/>
    <xf numFmtId="0" fontId="23" fillId="0" borderId="8" xfId="2" applyFont="1" applyFill="1" applyBorder="1"/>
    <xf numFmtId="0" fontId="23" fillId="0" borderId="2" xfId="2" applyFont="1" applyFill="1" applyBorder="1" applyAlignment="1">
      <alignment horizontal="center"/>
    </xf>
    <xf numFmtId="2" fontId="25" fillId="0" borderId="2" xfId="2" applyNumberFormat="1" applyFill="1" applyBorder="1" applyAlignment="1">
      <alignment horizontal="center"/>
    </xf>
    <xf numFmtId="0" fontId="25" fillId="0" borderId="2" xfId="2" applyFill="1" applyBorder="1" applyAlignment="1">
      <alignment horizontal="center"/>
    </xf>
    <xf numFmtId="10" fontId="25" fillId="0" borderId="3" xfId="2" applyNumberFormat="1" applyFill="1" applyBorder="1" applyAlignment="1">
      <alignment horizontal="center"/>
    </xf>
    <xf numFmtId="2" fontId="25" fillId="0" borderId="3" xfId="2" applyNumberFormat="1" applyFont="1" applyFill="1" applyBorder="1"/>
    <xf numFmtId="2" fontId="25" fillId="0" borderId="2" xfId="2" applyNumberFormat="1" applyFont="1" applyFill="1" applyBorder="1"/>
    <xf numFmtId="2" fontId="19" fillId="0" borderId="6" xfId="2" applyNumberFormat="1" applyFont="1" applyFill="1" applyBorder="1"/>
    <xf numFmtId="2" fontId="19" fillId="0" borderId="4" xfId="2" applyNumberFormat="1" applyFont="1" applyFill="1" applyBorder="1"/>
    <xf numFmtId="0" fontId="25" fillId="0" borderId="2" xfId="2" applyBorder="1"/>
    <xf numFmtId="0" fontId="25" fillId="0" borderId="0" xfId="2" applyFill="1"/>
    <xf numFmtId="0" fontId="25" fillId="0" borderId="7" xfId="2" applyFont="1" applyFill="1" applyBorder="1"/>
    <xf numFmtId="0" fontId="23" fillId="0" borderId="1" xfId="2" applyFont="1" applyFill="1" applyBorder="1"/>
    <xf numFmtId="0" fontId="25" fillId="0" borderId="0" xfId="2" applyFont="1" applyFill="1"/>
    <xf numFmtId="0" fontId="23" fillId="0" borderId="2" xfId="2" applyFont="1" applyFill="1" applyBorder="1"/>
    <xf numFmtId="0" fontId="22" fillId="0" borderId="7" xfId="2" applyFont="1" applyFill="1" applyBorder="1"/>
    <xf numFmtId="0" fontId="23" fillId="0" borderId="14" xfId="2" applyFont="1" applyFill="1" applyBorder="1"/>
    <xf numFmtId="0" fontId="25" fillId="0" borderId="13" xfId="2" applyFont="1" applyFill="1" applyBorder="1"/>
    <xf numFmtId="0" fontId="23" fillId="0" borderId="0" xfId="2" applyFont="1" applyFill="1" applyBorder="1"/>
    <xf numFmtId="2" fontId="19" fillId="0" borderId="4" xfId="2" applyNumberFormat="1" applyFont="1" applyBorder="1"/>
    <xf numFmtId="0" fontId="25" fillId="6" borderId="13" xfId="2" applyFont="1" applyFill="1" applyBorder="1"/>
    <xf numFmtId="0" fontId="23" fillId="6" borderId="2" xfId="2" applyFont="1" applyFill="1" applyBorder="1"/>
    <xf numFmtId="0" fontId="23" fillId="6" borderId="2" xfId="2" applyFont="1" applyFill="1" applyBorder="1" applyAlignment="1">
      <alignment horizontal="center"/>
    </xf>
    <xf numFmtId="0" fontId="25" fillId="6" borderId="13" xfId="2" applyFill="1" applyBorder="1"/>
    <xf numFmtId="0" fontId="25" fillId="6" borderId="2" xfId="2" applyFont="1" applyFill="1" applyBorder="1"/>
    <xf numFmtId="0" fontId="22" fillId="13" borderId="7" xfId="2" applyFont="1" applyFill="1" applyBorder="1"/>
    <xf numFmtId="0" fontId="22" fillId="13" borderId="8" xfId="2" applyFont="1" applyFill="1" applyBorder="1"/>
    <xf numFmtId="0" fontId="22" fillId="13" borderId="2" xfId="2" applyFont="1" applyFill="1" applyBorder="1" applyAlignment="1">
      <alignment horizontal="center"/>
    </xf>
    <xf numFmtId="2" fontId="22" fillId="13" borderId="2" xfId="2" applyNumberFormat="1" applyFont="1" applyFill="1" applyBorder="1" applyAlignment="1">
      <alignment horizontal="center"/>
    </xf>
    <xf numFmtId="2" fontId="22" fillId="13" borderId="4" xfId="2" applyNumberFormat="1" applyFont="1" applyFill="1" applyBorder="1" applyAlignment="1">
      <alignment horizontal="center"/>
    </xf>
    <xf numFmtId="0" fontId="25" fillId="3" borderId="2" xfId="2" applyFill="1" applyBorder="1"/>
    <xf numFmtId="0" fontId="25" fillId="3" borderId="2" xfId="2" applyFill="1" applyBorder="1" applyAlignment="1">
      <alignment horizontal="center"/>
    </xf>
    <xf numFmtId="2" fontId="40" fillId="3" borderId="2" xfId="2" applyNumberFormat="1" applyFont="1" applyFill="1" applyBorder="1" applyAlignment="1">
      <alignment horizontal="center"/>
    </xf>
    <xf numFmtId="0" fontId="25" fillId="0" borderId="0" xfId="2" applyFont="1"/>
    <xf numFmtId="2" fontId="25" fillId="3" borderId="2" xfId="2" applyNumberFormat="1" applyFill="1" applyBorder="1" applyAlignment="1">
      <alignment horizontal="center"/>
    </xf>
    <xf numFmtId="2" fontId="25" fillId="3" borderId="2" xfId="2" applyNumberFormat="1" applyFill="1" applyBorder="1"/>
    <xf numFmtId="2" fontId="19" fillId="3" borderId="2" xfId="2" applyNumberFormat="1" applyFont="1" applyFill="1" applyBorder="1"/>
    <xf numFmtId="0" fontId="25" fillId="3" borderId="15" xfId="2" applyFill="1" applyBorder="1"/>
    <xf numFmtId="2" fontId="25" fillId="0" borderId="0" xfId="2" applyNumberFormat="1"/>
    <xf numFmtId="0" fontId="25" fillId="3" borderId="16" xfId="2" applyFill="1" applyBorder="1"/>
    <xf numFmtId="0" fontId="25" fillId="3" borderId="17" xfId="2" applyFill="1" applyBorder="1" applyAlignment="1">
      <alignment horizontal="center"/>
    </xf>
    <xf numFmtId="2" fontId="25" fillId="3" borderId="17" xfId="2" applyNumberFormat="1" applyFill="1" applyBorder="1" applyAlignment="1">
      <alignment horizontal="center"/>
    </xf>
    <xf numFmtId="2" fontId="25" fillId="3" borderId="17" xfId="2" applyNumberFormat="1" applyFill="1" applyBorder="1"/>
    <xf numFmtId="0" fontId="25" fillId="3" borderId="18" xfId="2" applyFill="1" applyBorder="1"/>
    <xf numFmtId="0" fontId="25" fillId="3" borderId="19" xfId="2" applyFill="1" applyBorder="1" applyAlignment="1">
      <alignment horizontal="center"/>
    </xf>
    <xf numFmtId="2" fontId="25" fillId="3" borderId="19" xfId="2" applyNumberFormat="1" applyFill="1" applyBorder="1" applyAlignment="1">
      <alignment horizontal="center"/>
    </xf>
    <xf numFmtId="2" fontId="35" fillId="3" borderId="19" xfId="2" applyNumberFormat="1" applyFont="1" applyFill="1" applyBorder="1" applyAlignment="1">
      <alignment horizontal="center"/>
    </xf>
    <xf numFmtId="2" fontId="35" fillId="3" borderId="2" xfId="2" applyNumberFormat="1" applyFont="1" applyFill="1" applyBorder="1" applyAlignment="1">
      <alignment horizontal="center"/>
    </xf>
    <xf numFmtId="2" fontId="25" fillId="4" borderId="0" xfId="2" applyNumberFormat="1" applyFill="1"/>
    <xf numFmtId="2" fontId="25" fillId="9" borderId="0" xfId="2" applyNumberFormat="1" applyFill="1"/>
    <xf numFmtId="2" fontId="25" fillId="10" borderId="0" xfId="2" applyNumberFormat="1" applyFill="1"/>
    <xf numFmtId="2" fontId="25" fillId="6" borderId="0" xfId="2" applyNumberFormat="1" applyFill="1"/>
    <xf numFmtId="2" fontId="25" fillId="8" borderId="0" xfId="2" applyNumberFormat="1" applyFill="1"/>
    <xf numFmtId="2" fontId="25" fillId="11" borderId="0" xfId="2" applyNumberFormat="1" applyFill="1"/>
    <xf numFmtId="2" fontId="25" fillId="7" borderId="0" xfId="2" applyNumberFormat="1" applyFill="1"/>
    <xf numFmtId="2" fontId="25" fillId="12" borderId="0" xfId="2" applyNumberFormat="1" applyFill="1"/>
    <xf numFmtId="1" fontId="22" fillId="0" borderId="2" xfId="0" applyNumberFormat="1" applyFont="1" applyBorder="1" applyAlignment="1">
      <alignment horizontal="center" wrapText="1"/>
    </xf>
    <xf numFmtId="1" fontId="8" fillId="5" borderId="0" xfId="0" applyNumberFormat="1" applyFont="1" applyFill="1" applyAlignment="1">
      <alignment horizontal="center"/>
    </xf>
    <xf numFmtId="0" fontId="37" fillId="0" borderId="4" xfId="0" applyFont="1" applyBorder="1" applyAlignment="1">
      <alignment horizontal="center" vertical="top" wrapText="1"/>
    </xf>
    <xf numFmtId="1" fontId="8" fillId="0" borderId="2" xfId="0" applyNumberFormat="1" applyFont="1" applyBorder="1" applyAlignment="1">
      <alignment horizontal="right"/>
    </xf>
    <xf numFmtId="0" fontId="23" fillId="0" borderId="2" xfId="0" applyFont="1" applyBorder="1" applyAlignment="1">
      <alignment horizontal="left" wrapText="1"/>
    </xf>
    <xf numFmtId="0" fontId="22" fillId="2" borderId="2" xfId="0" applyFont="1" applyFill="1" applyBorder="1" applyAlignment="1">
      <alignment horizontal="left" wrapText="1"/>
    </xf>
    <xf numFmtId="1" fontId="22" fillId="2" borderId="2" xfId="0" applyNumberFormat="1" applyFont="1" applyFill="1" applyBorder="1" applyAlignment="1">
      <alignment horizontal="center" wrapText="1"/>
    </xf>
    <xf numFmtId="1" fontId="22" fillId="2" borderId="2" xfId="0" applyNumberFormat="1" applyFont="1" applyFill="1" applyBorder="1" applyAlignment="1">
      <alignment horizontal="right" wrapText="1"/>
    </xf>
    <xf numFmtId="0" fontId="21" fillId="2" borderId="2" xfId="0" applyFont="1" applyFill="1" applyBorder="1"/>
    <xf numFmtId="1" fontId="23" fillId="2" borderId="2" xfId="0" applyNumberFormat="1" applyFont="1" applyFill="1" applyBorder="1" applyAlignment="1">
      <alignment horizontal="center" vertical="top" wrapText="1"/>
    </xf>
    <xf numFmtId="2" fontId="21" fillId="0" borderId="2" xfId="0" applyNumberFormat="1" applyFont="1" applyBorder="1" applyAlignment="1">
      <alignment horizontal="right"/>
    </xf>
    <xf numFmtId="2" fontId="27" fillId="0" borderId="2" xfId="0" applyNumberFormat="1" applyFont="1" applyBorder="1"/>
    <xf numFmtId="2" fontId="8" fillId="0" borderId="2" xfId="0" applyNumberFormat="1" applyFont="1" applyBorder="1" applyAlignment="1">
      <alignment horizontal="right"/>
    </xf>
    <xf numFmtId="2" fontId="20" fillId="0" borderId="2" xfId="0" applyNumberFormat="1" applyFont="1" applyBorder="1"/>
    <xf numFmtId="2" fontId="21" fillId="2" borderId="2" xfId="0" applyNumberFormat="1" applyFont="1" applyFill="1" applyBorder="1"/>
    <xf numFmtId="0" fontId="8" fillId="2" borderId="2" xfId="0" applyFont="1" applyFill="1" applyBorder="1"/>
    <xf numFmtId="2" fontId="8" fillId="2" borderId="2" xfId="0" applyNumberFormat="1" applyFont="1" applyFill="1" applyBorder="1"/>
    <xf numFmtId="2" fontId="27" fillId="3" borderId="2" xfId="0" applyNumberFormat="1" applyFont="1" applyFill="1" applyBorder="1"/>
    <xf numFmtId="2" fontId="8" fillId="3" borderId="2" xfId="0" applyNumberFormat="1" applyFont="1" applyFill="1" applyBorder="1" applyAlignment="1">
      <alignment horizontal="right"/>
    </xf>
    <xf numFmtId="167" fontId="27" fillId="0" borderId="0" xfId="0" applyNumberFormat="1" applyFont="1"/>
    <xf numFmtId="1" fontId="27" fillId="0" borderId="0" xfId="0" applyNumberFormat="1" applyFont="1"/>
    <xf numFmtId="1" fontId="27" fillId="0" borderId="2" xfId="0" applyNumberFormat="1" applyFont="1" applyBorder="1"/>
    <xf numFmtId="0" fontId="8" fillId="0" borderId="2" xfId="0" applyFont="1" applyBorder="1" applyAlignment="1">
      <alignment horizontal="center" vertical="center" wrapText="1"/>
    </xf>
    <xf numFmtId="4" fontId="27" fillId="0" borderId="0" xfId="0" applyNumberFormat="1" applyFont="1"/>
    <xf numFmtId="4" fontId="20" fillId="0" borderId="0" xfId="0" applyNumberFormat="1" applyFont="1"/>
    <xf numFmtId="0" fontId="8" fillId="2" borderId="2" xfId="0" applyFont="1" applyFill="1" applyBorder="1" applyAlignment="1">
      <alignment horizontal="center"/>
    </xf>
    <xf numFmtId="168" fontId="20" fillId="0" borderId="2" xfId="0" applyNumberFormat="1" applyFont="1" applyBorder="1" applyAlignment="1">
      <alignment horizontal="right"/>
    </xf>
    <xf numFmtId="168" fontId="20" fillId="0" borderId="2" xfId="0" applyNumberFormat="1" applyFont="1" applyBorder="1" applyAlignment="1"/>
    <xf numFmtId="4" fontId="20" fillId="0" borderId="2" xfId="0" applyNumberFormat="1" applyFont="1" applyBorder="1" applyAlignment="1"/>
    <xf numFmtId="168" fontId="8" fillId="2" borderId="2" xfId="0" applyNumberFormat="1" applyFont="1" applyFill="1" applyBorder="1" applyAlignment="1"/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167" fontId="27" fillId="0" borderId="2" xfId="0" applyNumberFormat="1" applyFont="1" applyBorder="1"/>
    <xf numFmtId="167" fontId="8" fillId="2" borderId="2" xfId="0" applyNumberFormat="1" applyFont="1" applyFill="1" applyBorder="1"/>
    <xf numFmtId="2" fontId="8" fillId="2" borderId="2" xfId="0" applyNumberFormat="1" applyFont="1" applyFill="1" applyBorder="1" applyAlignment="1">
      <alignment horizontal="right" wrapText="1"/>
    </xf>
    <xf numFmtId="2" fontId="8" fillId="2" borderId="2" xfId="0" applyNumberFormat="1" applyFont="1" applyFill="1" applyBorder="1" applyAlignment="1">
      <alignment horizontal="right"/>
    </xf>
    <xf numFmtId="1" fontId="43" fillId="0" borderId="2" xfId="0" applyNumberFormat="1" applyFont="1" applyBorder="1" applyAlignment="1">
      <alignment horizontal="center" wrapText="1"/>
    </xf>
    <xf numFmtId="2" fontId="33" fillId="0" borderId="0" xfId="0" applyNumberFormat="1" applyFont="1"/>
    <xf numFmtId="169" fontId="0" fillId="0" borderId="0" xfId="0" applyNumberFormat="1"/>
    <xf numFmtId="0" fontId="28" fillId="0" borderId="3" xfId="0" applyFont="1" applyBorder="1" applyAlignment="1">
      <alignment horizontal="center" vertical="top" wrapText="1"/>
    </xf>
    <xf numFmtId="0" fontId="28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27" fillId="0" borderId="2" xfId="0" applyFont="1" applyBorder="1" applyAlignment="1"/>
    <xf numFmtId="1" fontId="23" fillId="0" borderId="2" xfId="0" applyNumberFormat="1" applyFont="1" applyBorder="1" applyAlignment="1">
      <alignment horizontal="center" vertical="top"/>
    </xf>
    <xf numFmtId="0" fontId="23" fillId="0" borderId="2" xfId="0" applyFont="1" applyBorder="1" applyAlignment="1">
      <alignment horizontal="center"/>
    </xf>
    <xf numFmtId="0" fontId="23" fillId="2" borderId="2" xfId="0" applyFont="1" applyFill="1" applyBorder="1" applyAlignment="1">
      <alignment horizontal="center"/>
    </xf>
    <xf numFmtId="1" fontId="22" fillId="2" borderId="2" xfId="0" applyNumberFormat="1" applyFont="1" applyFill="1" applyBorder="1" applyAlignment="1">
      <alignment horizontal="center" vertical="top"/>
    </xf>
    <xf numFmtId="0" fontId="22" fillId="0" borderId="2" xfId="0" applyFont="1" applyBorder="1" applyAlignment="1">
      <alignment horizontal="center"/>
    </xf>
    <xf numFmtId="1" fontId="22" fillId="0" borderId="2" xfId="0" applyNumberFormat="1" applyFont="1" applyBorder="1" applyAlignment="1">
      <alignment horizontal="center"/>
    </xf>
    <xf numFmtId="1" fontId="27" fillId="0" borderId="0" xfId="0" applyNumberFormat="1" applyFont="1" applyAlignment="1">
      <alignment horizontal="center"/>
    </xf>
    <xf numFmtId="1" fontId="27" fillId="0" borderId="0" xfId="0" applyNumberFormat="1" applyFont="1" applyAlignment="1">
      <alignment horizontal="center" vertical="center"/>
    </xf>
    <xf numFmtId="2" fontId="3" fillId="0" borderId="2" xfId="0" applyNumberFormat="1" applyFont="1" applyBorder="1" applyAlignment="1">
      <alignment horizontal="center"/>
    </xf>
    <xf numFmtId="2" fontId="24" fillId="0" borderId="2" xfId="0" applyNumberFormat="1" applyFont="1" applyFill="1" applyBorder="1" applyAlignment="1">
      <alignment horizontal="center"/>
    </xf>
    <xf numFmtId="2" fontId="13" fillId="0" borderId="2" xfId="0" applyNumberFormat="1" applyFont="1" applyBorder="1" applyAlignment="1">
      <alignment horizontal="center"/>
    </xf>
    <xf numFmtId="2" fontId="36" fillId="0" borderId="2" xfId="0" applyNumberFormat="1" applyFont="1" applyFill="1" applyBorder="1" applyAlignment="1">
      <alignment horizontal="center"/>
    </xf>
    <xf numFmtId="0" fontId="36" fillId="3" borderId="2" xfId="0" applyFont="1" applyFill="1" applyBorder="1" applyAlignment="1">
      <alignment horizontal="center" wrapText="1"/>
    </xf>
    <xf numFmtId="0" fontId="8" fillId="0" borderId="2" xfId="0" applyFont="1" applyBorder="1" applyAlignment="1"/>
    <xf numFmtId="2" fontId="0" fillId="0" borderId="0" xfId="0" applyNumberFormat="1" applyBorder="1" applyAlignment="1">
      <alignment horizontal="center"/>
    </xf>
    <xf numFmtId="2" fontId="44" fillId="0" borderId="2" xfId="0" applyNumberFormat="1" applyFont="1" applyBorder="1" applyAlignment="1">
      <alignment horizontal="center"/>
    </xf>
    <xf numFmtId="1" fontId="22" fillId="2" borderId="2" xfId="0" applyNumberFormat="1" applyFont="1" applyFill="1" applyBorder="1" applyAlignment="1">
      <alignment wrapText="1"/>
    </xf>
    <xf numFmtId="1" fontId="22" fillId="2" borderId="2" xfId="0" applyNumberFormat="1" applyFont="1" applyFill="1" applyBorder="1" applyAlignment="1">
      <alignment vertical="top"/>
    </xf>
    <xf numFmtId="1" fontId="22" fillId="0" borderId="2" xfId="0" applyNumberFormat="1" applyFont="1" applyBorder="1" applyAlignment="1"/>
    <xf numFmtId="1" fontId="27" fillId="3" borderId="2" xfId="0" applyNumberFormat="1" applyFont="1" applyFill="1" applyBorder="1" applyAlignment="1">
      <alignment horizontal="center"/>
    </xf>
    <xf numFmtId="1" fontId="3" fillId="3" borderId="2" xfId="0" applyNumberFormat="1" applyFont="1" applyFill="1" applyBorder="1" applyAlignment="1">
      <alignment horizontal="center"/>
    </xf>
    <xf numFmtId="0" fontId="37" fillId="0" borderId="2" xfId="0" applyFont="1" applyBorder="1" applyAlignment="1">
      <alignment horizontal="center" vertical="top" wrapText="1"/>
    </xf>
    <xf numFmtId="0" fontId="37" fillId="0" borderId="2" xfId="0" applyFont="1" applyBorder="1" applyAlignment="1">
      <alignment vertical="top" wrapText="1"/>
    </xf>
    <xf numFmtId="0" fontId="37" fillId="0" borderId="2" xfId="0" applyFont="1" applyBorder="1" applyAlignment="1">
      <alignment horizontal="center" vertical="top" textRotation="90" wrapText="1"/>
    </xf>
    <xf numFmtId="0" fontId="37" fillId="0" borderId="2" xfId="0" applyFont="1" applyFill="1" applyBorder="1" applyAlignment="1">
      <alignment horizontal="center" vertical="top" textRotation="90" wrapText="1"/>
    </xf>
    <xf numFmtId="0" fontId="37" fillId="0" borderId="4" xfId="0" applyFont="1" applyFill="1" applyBorder="1" applyAlignment="1">
      <alignment horizontal="center" vertical="top" textRotation="90" wrapText="1"/>
    </xf>
    <xf numFmtId="0" fontId="18" fillId="2" borderId="2" xfId="0" applyFont="1" applyFill="1" applyBorder="1" applyAlignment="1">
      <alignment horizontal="center" wrapText="1"/>
    </xf>
    <xf numFmtId="1" fontId="3" fillId="0" borderId="2" xfId="0" applyNumberFormat="1" applyFont="1" applyBorder="1" applyAlignment="1"/>
    <xf numFmtId="1" fontId="8" fillId="2" borderId="2" xfId="0" applyNumberFormat="1" applyFont="1" applyFill="1" applyBorder="1" applyAlignment="1">
      <alignment horizontal="center"/>
    </xf>
    <xf numFmtId="1" fontId="8" fillId="2" borderId="2" xfId="0" applyNumberFormat="1" applyFont="1" applyFill="1" applyBorder="1" applyAlignment="1">
      <alignment horizontal="right"/>
    </xf>
    <xf numFmtId="0" fontId="22" fillId="2" borderId="2" xfId="0" applyFont="1" applyFill="1" applyBorder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44" fillId="0" borderId="2" xfId="0" applyFont="1" applyBorder="1" applyAlignment="1">
      <alignment horizontal="center"/>
    </xf>
    <xf numFmtId="2" fontId="37" fillId="0" borderId="2" xfId="0" applyNumberFormat="1" applyFont="1" applyBorder="1" applyAlignment="1">
      <alignment horizontal="center" vertical="center"/>
    </xf>
    <xf numFmtId="2" fontId="37" fillId="0" borderId="2" xfId="0" applyNumberFormat="1" applyFont="1" applyFill="1" applyBorder="1" applyAlignment="1">
      <alignment horizontal="center"/>
    </xf>
    <xf numFmtId="0" fontId="37" fillId="0" borderId="2" xfId="0" applyFont="1" applyBorder="1" applyAlignment="1">
      <alignment vertical="top" textRotation="90" wrapText="1"/>
    </xf>
    <xf numFmtId="0" fontId="27" fillId="0" borderId="0" xfId="0" applyFont="1" applyBorder="1"/>
    <xf numFmtId="0" fontId="5" fillId="0" borderId="2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2" fontId="22" fillId="0" borderId="0" xfId="0" applyNumberFormat="1" applyFont="1" applyBorder="1" applyAlignment="1">
      <alignment horizontal="center" wrapText="1"/>
    </xf>
    <xf numFmtId="2" fontId="23" fillId="0" borderId="0" xfId="0" applyNumberFormat="1" applyFont="1" applyBorder="1" applyAlignment="1">
      <alignment horizontal="center"/>
    </xf>
    <xf numFmtId="0" fontId="27" fillId="0" borderId="0" xfId="0" applyFont="1" applyBorder="1" applyAlignment="1"/>
    <xf numFmtId="2" fontId="8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20" fillId="0" borderId="0" xfId="0" applyFont="1" applyBorder="1"/>
    <xf numFmtId="2" fontId="21" fillId="0" borderId="0" xfId="0" applyNumberFormat="1" applyFont="1" applyBorder="1" applyAlignment="1">
      <alignment horizontal="center"/>
    </xf>
    <xf numFmtId="0" fontId="25" fillId="0" borderId="11" xfId="1" applyBorder="1"/>
    <xf numFmtId="2" fontId="37" fillId="0" borderId="11" xfId="0" applyNumberFormat="1" applyFont="1" applyBorder="1" applyAlignment="1">
      <alignment horizontal="center" vertical="center"/>
    </xf>
    <xf numFmtId="2" fontId="0" fillId="0" borderId="1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20" fillId="0" borderId="2" xfId="0" applyFont="1" applyBorder="1" applyAlignment="1">
      <alignment horizontal="center"/>
    </xf>
    <xf numFmtId="2" fontId="3" fillId="0" borderId="2" xfId="0" applyNumberFormat="1" applyFont="1" applyBorder="1"/>
    <xf numFmtId="2" fontId="3" fillId="3" borderId="0" xfId="0" applyNumberFormat="1" applyFont="1" applyFill="1"/>
    <xf numFmtId="2" fontId="27" fillId="3" borderId="2" xfId="0" applyNumberFormat="1" applyFont="1" applyFill="1" applyBorder="1" applyAlignment="1">
      <alignment horizontal="center" vertical="center"/>
    </xf>
    <xf numFmtId="0" fontId="23" fillId="0" borderId="2" xfId="0" applyFont="1" applyBorder="1" applyAlignment="1">
      <alignment horizontal="left" wrapText="1" shrinkToFit="1"/>
    </xf>
    <xf numFmtId="2" fontId="37" fillId="3" borderId="2" xfId="0" applyNumberFormat="1" applyFont="1" applyFill="1" applyBorder="1" applyAlignment="1">
      <alignment horizontal="center" vertical="center"/>
    </xf>
    <xf numFmtId="2" fontId="37" fillId="3" borderId="2" xfId="0" applyNumberFormat="1" applyFont="1" applyFill="1" applyBorder="1" applyAlignment="1">
      <alignment horizontal="center"/>
    </xf>
    <xf numFmtId="2" fontId="44" fillId="3" borderId="2" xfId="0" applyNumberFormat="1" applyFont="1" applyFill="1" applyBorder="1" applyAlignment="1">
      <alignment horizontal="center"/>
    </xf>
    <xf numFmtId="2" fontId="44" fillId="0" borderId="2" xfId="0" applyNumberFormat="1" applyFont="1" applyBorder="1" applyAlignment="1">
      <alignment horizontal="center" vertical="center"/>
    </xf>
    <xf numFmtId="0" fontId="36" fillId="0" borderId="2" xfId="0" applyFont="1" applyBorder="1" applyAlignment="1">
      <alignment horizontal="center" wrapText="1"/>
    </xf>
    <xf numFmtId="2" fontId="8" fillId="3" borderId="2" xfId="0" applyNumberFormat="1" applyFont="1" applyFill="1" applyBorder="1" applyAlignment="1">
      <alignment horizontal="center" vertical="center"/>
    </xf>
    <xf numFmtId="2" fontId="37" fillId="0" borderId="2" xfId="0" applyNumberFormat="1" applyFont="1" applyBorder="1" applyAlignment="1">
      <alignment horizontal="center"/>
    </xf>
    <xf numFmtId="0" fontId="22" fillId="3" borderId="2" xfId="0" applyFont="1" applyFill="1" applyBorder="1" applyAlignment="1">
      <alignment horizontal="center"/>
    </xf>
    <xf numFmtId="2" fontId="20" fillId="3" borderId="0" xfId="0" applyNumberFormat="1" applyFont="1" applyFill="1"/>
    <xf numFmtId="0" fontId="24" fillId="3" borderId="3" xfId="0" applyFont="1" applyFill="1" applyBorder="1" applyAlignment="1">
      <alignment horizontal="center" vertical="center" wrapText="1"/>
    </xf>
    <xf numFmtId="2" fontId="23" fillId="3" borderId="3" xfId="0" applyNumberFormat="1" applyFont="1" applyFill="1" applyBorder="1" applyAlignment="1">
      <alignment horizontal="center" vertical="center"/>
    </xf>
    <xf numFmtId="2" fontId="39" fillId="3" borderId="2" xfId="0" applyNumberFormat="1" applyFont="1" applyFill="1" applyBorder="1" applyAlignment="1">
      <alignment horizontal="center"/>
    </xf>
    <xf numFmtId="0" fontId="22" fillId="0" borderId="2" xfId="0" applyFont="1" applyBorder="1"/>
    <xf numFmtId="0" fontId="37" fillId="3" borderId="2" xfId="0" applyFont="1" applyFill="1" applyBorder="1"/>
    <xf numFmtId="0" fontId="23" fillId="3" borderId="2" xfId="0" applyFont="1" applyFill="1" applyBorder="1"/>
    <xf numFmtId="2" fontId="24" fillId="0" borderId="2" xfId="0" applyNumberFormat="1" applyFont="1" applyBorder="1" applyAlignment="1">
      <alignment horizontal="center"/>
    </xf>
    <xf numFmtId="2" fontId="39" fillId="0" borderId="2" xfId="0" applyNumberFormat="1" applyFont="1" applyBorder="1" applyAlignment="1">
      <alignment horizontal="center"/>
    </xf>
    <xf numFmtId="2" fontId="36" fillId="0" borderId="2" xfId="0" applyNumberFormat="1" applyFont="1" applyBorder="1" applyAlignment="1">
      <alignment horizontal="center"/>
    </xf>
    <xf numFmtId="2" fontId="36" fillId="3" borderId="2" xfId="0" applyNumberFormat="1" applyFont="1" applyFill="1" applyBorder="1" applyAlignment="1">
      <alignment horizontal="center" wrapText="1"/>
    </xf>
    <xf numFmtId="2" fontId="37" fillId="3" borderId="2" xfId="0" applyNumberFormat="1" applyFont="1" applyFill="1" applyBorder="1" applyAlignment="1">
      <alignment horizontal="center" wrapText="1"/>
    </xf>
    <xf numFmtId="2" fontId="37" fillId="0" borderId="2" xfId="0" applyNumberFormat="1" applyFont="1" applyBorder="1" applyAlignment="1">
      <alignment horizontal="center" wrapText="1"/>
    </xf>
    <xf numFmtId="2" fontId="8" fillId="5" borderId="2" xfId="0" applyNumberFormat="1" applyFont="1" applyFill="1" applyBorder="1" applyAlignment="1">
      <alignment horizontal="center"/>
    </xf>
    <xf numFmtId="2" fontId="23" fillId="3" borderId="3" xfId="0" applyNumberFormat="1" applyFont="1" applyFill="1" applyBorder="1" applyAlignment="1">
      <alignment horizontal="center" vertical="center" wrapText="1"/>
    </xf>
    <xf numFmtId="0" fontId="44" fillId="3" borderId="2" xfId="0" applyFont="1" applyFill="1" applyBorder="1"/>
    <xf numFmtId="0" fontId="44" fillId="3" borderId="2" xfId="0" applyFont="1" applyFill="1" applyBorder="1" applyAlignment="1">
      <alignment horizontal="center"/>
    </xf>
    <xf numFmtId="0" fontId="36" fillId="3" borderId="2" xfId="0" applyFont="1" applyFill="1" applyBorder="1" applyAlignment="1">
      <alignment horizontal="left" wrapText="1"/>
    </xf>
    <xf numFmtId="2" fontId="38" fillId="3" borderId="2" xfId="0" applyNumberFormat="1" applyFont="1" applyFill="1" applyBorder="1" applyAlignment="1">
      <alignment horizontal="center"/>
    </xf>
    <xf numFmtId="2" fontId="5" fillId="3" borderId="2" xfId="0" applyNumberFormat="1" applyFont="1" applyFill="1" applyBorder="1" applyAlignment="1">
      <alignment horizontal="center"/>
    </xf>
    <xf numFmtId="0" fontId="9" fillId="3" borderId="0" xfId="0" applyFont="1" applyFill="1"/>
    <xf numFmtId="0" fontId="37" fillId="0" borderId="2" xfId="0" applyFont="1" applyBorder="1" applyAlignment="1">
      <alignment wrapText="1"/>
    </xf>
    <xf numFmtId="2" fontId="36" fillId="3" borderId="2" xfId="0" applyNumberFormat="1" applyFont="1" applyFill="1" applyBorder="1" applyAlignment="1">
      <alignment horizontal="center"/>
    </xf>
    <xf numFmtId="2" fontId="24" fillId="3" borderId="2" xfId="0" applyNumberFormat="1" applyFont="1" applyFill="1" applyBorder="1" applyAlignment="1">
      <alignment horizontal="center"/>
    </xf>
    <xf numFmtId="0" fontId="23" fillId="3" borderId="2" xfId="0" applyFont="1" applyFill="1" applyBorder="1" applyAlignment="1">
      <alignment horizontal="center"/>
    </xf>
    <xf numFmtId="0" fontId="37" fillId="3" borderId="2" xfId="0" applyFont="1" applyFill="1" applyBorder="1" applyAlignment="1">
      <alignment horizontal="center"/>
    </xf>
    <xf numFmtId="0" fontId="36" fillId="3" borderId="2" xfId="0" applyFont="1" applyFill="1" applyBorder="1" applyAlignment="1">
      <alignment horizontal="center"/>
    </xf>
    <xf numFmtId="2" fontId="22" fillId="3" borderId="0" xfId="0" applyNumberFormat="1" applyFont="1" applyFill="1" applyAlignment="1">
      <alignment horizontal="center"/>
    </xf>
    <xf numFmtId="2" fontId="46" fillId="3" borderId="2" xfId="0" applyNumberFormat="1" applyFont="1" applyFill="1" applyBorder="1" applyAlignment="1">
      <alignment horizontal="center"/>
    </xf>
    <xf numFmtId="2" fontId="12" fillId="5" borderId="0" xfId="0" applyNumberFormat="1" applyFont="1" applyFill="1"/>
    <xf numFmtId="0" fontId="9" fillId="3" borderId="0" xfId="0" applyFont="1" applyFill="1" applyAlignment="1">
      <alignment horizontal="center"/>
    </xf>
    <xf numFmtId="0" fontId="37" fillId="0" borderId="2" xfId="0" applyFont="1" applyFill="1" applyBorder="1"/>
    <xf numFmtId="2" fontId="37" fillId="0" borderId="4" xfId="0" applyNumberFormat="1" applyFont="1" applyBorder="1" applyAlignment="1">
      <alignment horizontal="center" wrapText="1"/>
    </xf>
    <xf numFmtId="0" fontId="44" fillId="0" borderId="2" xfId="0" applyFont="1" applyBorder="1"/>
    <xf numFmtId="0" fontId="44" fillId="0" borderId="2" xfId="0" applyFont="1" applyBorder="1" applyAlignment="1"/>
    <xf numFmtId="0" fontId="37" fillId="0" borderId="2" xfId="0" applyFont="1" applyBorder="1" applyAlignment="1"/>
    <xf numFmtId="0" fontId="44" fillId="0" borderId="2" xfId="0" applyFont="1" applyBorder="1" applyAlignment="1">
      <alignment wrapText="1"/>
    </xf>
    <xf numFmtId="2" fontId="5" fillId="0" borderId="2" xfId="0" applyNumberFormat="1" applyFont="1" applyBorder="1" applyAlignment="1">
      <alignment horizontal="center"/>
    </xf>
    <xf numFmtId="2" fontId="44" fillId="0" borderId="11" xfId="0" applyNumberFormat="1" applyFont="1" applyBorder="1" applyAlignment="1">
      <alignment horizontal="center"/>
    </xf>
    <xf numFmtId="2" fontId="45" fillId="0" borderId="2" xfId="0" applyNumberFormat="1" applyFont="1" applyBorder="1" applyAlignment="1">
      <alignment horizontal="center"/>
    </xf>
    <xf numFmtId="0" fontId="45" fillId="0" borderId="0" xfId="0" applyFont="1"/>
    <xf numFmtId="0" fontId="37" fillId="3" borderId="2" xfId="0" applyFont="1" applyFill="1" applyBorder="1" applyAlignment="1">
      <alignment wrapText="1"/>
    </xf>
    <xf numFmtId="0" fontId="44" fillId="0" borderId="2" xfId="0" applyFont="1" applyBorder="1" applyAlignment="1">
      <alignment horizontal="left" wrapText="1"/>
    </xf>
    <xf numFmtId="2" fontId="44" fillId="0" borderId="0" xfId="0" applyNumberFormat="1" applyFont="1" applyBorder="1" applyAlignment="1">
      <alignment horizontal="center"/>
    </xf>
    <xf numFmtId="2" fontId="45" fillId="0" borderId="0" xfId="0" applyNumberFormat="1" applyFont="1" applyBorder="1" applyAlignment="1">
      <alignment horizontal="center"/>
    </xf>
    <xf numFmtId="2" fontId="44" fillId="0" borderId="2" xfId="0" applyNumberFormat="1" applyFont="1" applyBorder="1" applyAlignment="1">
      <alignment horizontal="center" wrapText="1"/>
    </xf>
    <xf numFmtId="164" fontId="37" fillId="0" borderId="2" xfId="3" applyFont="1" applyBorder="1" applyAlignment="1">
      <alignment wrapText="1"/>
    </xf>
    <xf numFmtId="0" fontId="44" fillId="0" borderId="4" xfId="0" applyFont="1" applyBorder="1"/>
    <xf numFmtId="164" fontId="37" fillId="0" borderId="2" xfId="3" applyFont="1" applyBorder="1" applyAlignment="1">
      <alignment horizontal="left" wrapText="1"/>
    </xf>
    <xf numFmtId="2" fontId="44" fillId="0" borderId="0" xfId="0" applyNumberFormat="1" applyFont="1" applyBorder="1" applyAlignment="1">
      <alignment horizontal="center" vertical="center"/>
    </xf>
    <xf numFmtId="2" fontId="45" fillId="0" borderId="0" xfId="0" applyNumberFormat="1" applyFont="1"/>
    <xf numFmtId="2" fontId="44" fillId="0" borderId="4" xfId="0" applyNumberFormat="1" applyFont="1" applyBorder="1" applyAlignment="1">
      <alignment horizontal="center"/>
    </xf>
    <xf numFmtId="0" fontId="44" fillId="0" borderId="0" xfId="0" applyFont="1" applyBorder="1"/>
    <xf numFmtId="0" fontId="44" fillId="0" borderId="20" xfId="0" applyFont="1" applyFill="1" applyBorder="1"/>
    <xf numFmtId="0" fontId="48" fillId="0" borderId="2" xfId="0" applyFont="1" applyBorder="1"/>
    <xf numFmtId="0" fontId="37" fillId="0" borderId="2" xfId="0" applyFont="1" applyBorder="1" applyAlignment="1">
      <alignment horizontal="left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7" fillId="0" borderId="11" xfId="0" applyFont="1" applyBorder="1" applyAlignment="1">
      <alignment horizontal="center"/>
    </xf>
    <xf numFmtId="0" fontId="28" fillId="3" borderId="2" xfId="0" applyFont="1" applyFill="1" applyBorder="1" applyAlignment="1">
      <alignment horizontal="center"/>
    </xf>
    <xf numFmtId="2" fontId="8" fillId="5" borderId="0" xfId="0" applyNumberFormat="1" applyFont="1" applyFill="1" applyBorder="1" applyAlignment="1">
      <alignment horizontal="center"/>
    </xf>
    <xf numFmtId="0" fontId="20" fillId="0" borderId="2" xfId="0" applyFont="1" applyBorder="1" applyAlignment="1">
      <alignment wrapText="1"/>
    </xf>
    <xf numFmtId="0" fontId="20" fillId="0" borderId="2" xfId="0" applyFont="1" applyFill="1" applyBorder="1" applyAlignment="1">
      <alignment wrapText="1"/>
    </xf>
    <xf numFmtId="0" fontId="20" fillId="0" borderId="2" xfId="0" applyFont="1" applyFill="1" applyBorder="1"/>
    <xf numFmtId="0" fontId="27" fillId="0" borderId="2" xfId="0" applyFont="1" applyFill="1" applyBorder="1" applyAlignment="1">
      <alignment wrapText="1"/>
    </xf>
    <xf numFmtId="0" fontId="27" fillId="0" borderId="2" xfId="0" applyFont="1" applyFill="1" applyBorder="1"/>
    <xf numFmtId="0" fontId="49" fillId="3" borderId="2" xfId="0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/>
    </xf>
    <xf numFmtId="2" fontId="0" fillId="0" borderId="2" xfId="0" applyNumberFormat="1" applyBorder="1" applyAlignment="1">
      <alignment horizontal="center" vertical="center"/>
    </xf>
    <xf numFmtId="2" fontId="19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2" fontId="25" fillId="0" borderId="2" xfId="0" applyNumberFormat="1" applyFont="1" applyBorder="1" applyAlignment="1">
      <alignment horizontal="center" vertical="center"/>
    </xf>
    <xf numFmtId="0" fontId="0" fillId="3" borderId="2" xfId="0" applyFill="1" applyBorder="1" applyAlignment="1">
      <alignment wrapText="1"/>
    </xf>
    <xf numFmtId="0" fontId="26" fillId="3" borderId="2" xfId="0" applyFont="1" applyFill="1" applyBorder="1" applyAlignment="1">
      <alignment wrapText="1"/>
    </xf>
    <xf numFmtId="0" fontId="3" fillId="0" borderId="0" xfId="0" applyFont="1" applyAlignment="1">
      <alignment horizontal="justify" wrapText="1"/>
    </xf>
    <xf numFmtId="0" fontId="8" fillId="0" borderId="21" xfId="0" applyFont="1" applyBorder="1" applyAlignment="1">
      <alignment wrapText="1"/>
    </xf>
    <xf numFmtId="0" fontId="23" fillId="0" borderId="0" xfId="0" applyFont="1"/>
    <xf numFmtId="2" fontId="27" fillId="3" borderId="0" xfId="0" applyNumberFormat="1" applyFont="1" applyFill="1"/>
    <xf numFmtId="4" fontId="0" fillId="0" borderId="0" xfId="0" applyNumberFormat="1"/>
    <xf numFmtId="2" fontId="23" fillId="0" borderId="0" xfId="0" applyNumberFormat="1" applyFont="1" applyBorder="1" applyAlignment="1">
      <alignment horizontal="center" vertical="center"/>
    </xf>
    <xf numFmtId="4" fontId="9" fillId="3" borderId="0" xfId="0" applyNumberFormat="1" applyFont="1" applyFill="1"/>
    <xf numFmtId="0" fontId="37" fillId="0" borderId="2" xfId="0" applyFont="1" applyBorder="1" applyAlignment="1">
      <alignment horizontal="left"/>
    </xf>
    <xf numFmtId="10" fontId="20" fillId="0" borderId="2" xfId="0" applyNumberFormat="1" applyFont="1" applyBorder="1" applyAlignment="1"/>
    <xf numFmtId="9" fontId="8" fillId="0" borderId="2" xfId="0" applyNumberFormat="1" applyFont="1" applyBorder="1" applyAlignment="1">
      <alignment vertical="top"/>
    </xf>
    <xf numFmtId="0" fontId="8" fillId="0" borderId="2" xfId="0" applyFont="1" applyBorder="1" applyAlignment="1">
      <alignment vertical="top"/>
    </xf>
    <xf numFmtId="2" fontId="8" fillId="2" borderId="2" xfId="0" applyNumberFormat="1" applyFont="1" applyFill="1" applyBorder="1" applyAlignment="1">
      <alignment horizontal="center"/>
    </xf>
    <xf numFmtId="2" fontId="27" fillId="0" borderId="2" xfId="0" applyNumberFormat="1" applyFont="1" applyBorder="1" applyAlignment="1">
      <alignment horizontal="center" wrapText="1"/>
    </xf>
    <xf numFmtId="2" fontId="20" fillId="0" borderId="0" xfId="0" applyNumberFormat="1" applyFont="1" applyBorder="1"/>
    <xf numFmtId="166" fontId="27" fillId="0" borderId="0" xfId="0" applyNumberFormat="1" applyFont="1"/>
    <xf numFmtId="0" fontId="34" fillId="0" borderId="0" xfId="0" applyFont="1"/>
    <xf numFmtId="0" fontId="22" fillId="3" borderId="2" xfId="0" applyFont="1" applyFill="1" applyBorder="1" applyAlignment="1">
      <alignment horizontal="center" wrapText="1"/>
    </xf>
    <xf numFmtId="2" fontId="3" fillId="0" borderId="0" xfId="0" applyNumberFormat="1" applyFont="1" applyAlignment="1">
      <alignment horizontal="center"/>
    </xf>
    <xf numFmtId="2" fontId="3" fillId="0" borderId="0" xfId="0" applyNumberFormat="1" applyFont="1"/>
    <xf numFmtId="2" fontId="22" fillId="3" borderId="20" xfId="0" applyNumberFormat="1" applyFont="1" applyFill="1" applyBorder="1" applyAlignment="1">
      <alignment horizontal="center" vertical="center"/>
    </xf>
    <xf numFmtId="2" fontId="8" fillId="0" borderId="20" xfId="0" applyNumberFormat="1" applyFont="1" applyFill="1" applyBorder="1" applyAlignment="1">
      <alignment horizontal="center"/>
    </xf>
    <xf numFmtId="2" fontId="9" fillId="3" borderId="0" xfId="0" applyNumberFormat="1" applyFont="1" applyFill="1"/>
    <xf numFmtId="0" fontId="24" fillId="0" borderId="2" xfId="0" applyFont="1" applyBorder="1" applyAlignment="1">
      <alignment horizontal="center"/>
    </xf>
    <xf numFmtId="0" fontId="13" fillId="0" borderId="2" xfId="0" applyFont="1" applyBorder="1"/>
    <xf numFmtId="1" fontId="13" fillId="0" borderId="2" xfId="0" applyNumberFormat="1" applyFont="1" applyBorder="1" applyAlignment="1">
      <alignment horizontal="center"/>
    </xf>
    <xf numFmtId="1" fontId="13" fillId="0" borderId="2" xfId="0" applyNumberFormat="1" applyFont="1" applyBorder="1" applyAlignment="1"/>
    <xf numFmtId="1" fontId="13" fillId="3" borderId="2" xfId="0" applyNumberFormat="1" applyFont="1" applyFill="1" applyBorder="1" applyAlignment="1">
      <alignment horizontal="center"/>
    </xf>
    <xf numFmtId="1" fontId="24" fillId="3" borderId="2" xfId="0" applyNumberFormat="1" applyFont="1" applyFill="1" applyBorder="1" applyAlignment="1">
      <alignment horizontal="center" wrapText="1"/>
    </xf>
    <xf numFmtId="1" fontId="24" fillId="0" borderId="2" xfId="0" applyNumberFormat="1" applyFont="1" applyBorder="1" applyAlignment="1">
      <alignment horizontal="center" wrapText="1"/>
    </xf>
    <xf numFmtId="1" fontId="39" fillId="0" borderId="2" xfId="0" applyNumberFormat="1" applyFont="1" applyBorder="1" applyAlignment="1">
      <alignment horizontal="center" wrapText="1"/>
    </xf>
    <xf numFmtId="0" fontId="11" fillId="0" borderId="2" xfId="0" applyFont="1" applyBorder="1"/>
    <xf numFmtId="0" fontId="27" fillId="0" borderId="0" xfId="0" applyFont="1" applyAlignment="1">
      <alignment horizontal="center"/>
    </xf>
    <xf numFmtId="0" fontId="22" fillId="3" borderId="17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8" fillId="3" borderId="0" xfId="0" applyFont="1" applyFill="1" applyBorder="1"/>
    <xf numFmtId="2" fontId="8" fillId="3" borderId="0" xfId="0" applyNumberFormat="1" applyFont="1" applyFill="1" applyBorder="1" applyAlignment="1">
      <alignment horizontal="center"/>
    </xf>
    <xf numFmtId="0" fontId="23" fillId="3" borderId="2" xfId="0" applyFont="1" applyFill="1" applyBorder="1" applyAlignment="1">
      <alignment vertical="center" wrapText="1"/>
    </xf>
    <xf numFmtId="0" fontId="25" fillId="3" borderId="2" xfId="0" applyFont="1" applyFill="1" applyBorder="1" applyAlignment="1">
      <alignment wrapText="1"/>
    </xf>
    <xf numFmtId="2" fontId="0" fillId="3" borderId="0" xfId="0" applyNumberFormat="1" applyFill="1" applyBorder="1"/>
    <xf numFmtId="2" fontId="0" fillId="0" borderId="0" xfId="0" applyNumberFormat="1" applyBorder="1"/>
    <xf numFmtId="0" fontId="27" fillId="3" borderId="2" xfId="0" applyFont="1" applyFill="1" applyBorder="1" applyAlignment="1">
      <alignment wrapText="1"/>
    </xf>
    <xf numFmtId="0" fontId="24" fillId="3" borderId="2" xfId="0" applyFont="1" applyFill="1" applyBorder="1" applyAlignment="1">
      <alignment horizontal="center" wrapText="1"/>
    </xf>
    <xf numFmtId="0" fontId="27" fillId="3" borderId="0" xfId="0" applyFont="1" applyFill="1" applyBorder="1"/>
    <xf numFmtId="2" fontId="27" fillId="3" borderId="0" xfId="0" applyNumberFormat="1" applyFont="1" applyFill="1" applyAlignment="1">
      <alignment horizontal="center"/>
    </xf>
    <xf numFmtId="2" fontId="13" fillId="0" borderId="2" xfId="0" applyNumberFormat="1" applyFont="1" applyBorder="1" applyAlignment="1">
      <alignment horizontal="center" wrapText="1"/>
    </xf>
    <xf numFmtId="2" fontId="24" fillId="0" borderId="2" xfId="0" applyNumberFormat="1" applyFont="1" applyBorder="1" applyAlignment="1">
      <alignment horizontal="center" wrapText="1"/>
    </xf>
    <xf numFmtId="0" fontId="23" fillId="3" borderId="3" xfId="0" applyFont="1" applyFill="1" applyBorder="1" applyAlignment="1">
      <alignment horizontal="left" vertical="center" wrapText="1"/>
    </xf>
    <xf numFmtId="165" fontId="8" fillId="3" borderId="2" xfId="0" applyNumberFormat="1" applyFont="1" applyFill="1" applyBorder="1" applyAlignment="1">
      <alignment horizontal="center"/>
    </xf>
    <xf numFmtId="165" fontId="45" fillId="0" borderId="2" xfId="0" applyNumberFormat="1" applyFont="1" applyBorder="1"/>
    <xf numFmtId="165" fontId="44" fillId="3" borderId="2" xfId="0" applyNumberFormat="1" applyFont="1" applyFill="1" applyBorder="1" applyAlignment="1">
      <alignment horizontal="center"/>
    </xf>
    <xf numFmtId="165" fontId="47" fillId="0" borderId="2" xfId="0" applyNumberFormat="1" applyFont="1" applyBorder="1"/>
    <xf numFmtId="165" fontId="0" fillId="0" borderId="2" xfId="0" applyNumberFormat="1" applyBorder="1"/>
    <xf numFmtId="0" fontId="25" fillId="3" borderId="2" xfId="0" applyFont="1" applyFill="1" applyBorder="1" applyAlignment="1">
      <alignment horizontal="left" wrapText="1"/>
    </xf>
    <xf numFmtId="0" fontId="3" fillId="3" borderId="2" xfId="0" applyFont="1" applyFill="1" applyBorder="1" applyAlignment="1">
      <alignment wrapText="1"/>
    </xf>
    <xf numFmtId="2" fontId="46" fillId="0" borderId="2" xfId="0" applyNumberFormat="1" applyFont="1" applyBorder="1" applyAlignment="1">
      <alignment horizontal="center"/>
    </xf>
    <xf numFmtId="0" fontId="21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2" fontId="21" fillId="0" borderId="2" xfId="0" applyNumberFormat="1" applyFont="1" applyBorder="1" applyAlignment="1">
      <alignment horizontal="center" vertical="center"/>
    </xf>
    <xf numFmtId="0" fontId="23" fillId="0" borderId="2" xfId="0" applyFont="1" applyBorder="1"/>
    <xf numFmtId="0" fontId="23" fillId="0" borderId="2" xfId="0" applyFont="1" applyBorder="1" applyAlignment="1">
      <alignment wrapText="1"/>
    </xf>
    <xf numFmtId="2" fontId="23" fillId="0" borderId="2" xfId="0" applyNumberFormat="1" applyFont="1" applyBorder="1" applyAlignment="1">
      <alignment horizontal="left" wrapText="1"/>
    </xf>
    <xf numFmtId="4" fontId="44" fillId="3" borderId="0" xfId="0" applyNumberFormat="1" applyFont="1" applyFill="1"/>
    <xf numFmtId="0" fontId="22" fillId="3" borderId="3" xfId="0" applyFont="1" applyFill="1" applyBorder="1" applyAlignment="1">
      <alignment vertical="center"/>
    </xf>
    <xf numFmtId="0" fontId="32" fillId="0" borderId="0" xfId="0" applyFont="1"/>
    <xf numFmtId="0" fontId="3" fillId="0" borderId="2" xfId="0" applyFont="1" applyBorder="1" applyAlignment="1">
      <alignment horizontal="center"/>
    </xf>
    <xf numFmtId="0" fontId="3" fillId="0" borderId="0" xfId="0" applyFont="1" applyBorder="1"/>
    <xf numFmtId="0" fontId="22" fillId="0" borderId="0" xfId="0" applyFont="1" applyBorder="1" applyAlignment="1">
      <alignment wrapText="1"/>
    </xf>
    <xf numFmtId="2" fontId="22" fillId="0" borderId="0" xfId="0" applyNumberFormat="1" applyFont="1" applyBorder="1" applyAlignment="1">
      <alignment vertical="center"/>
    </xf>
    <xf numFmtId="2" fontId="22" fillId="0" borderId="0" xfId="0" applyNumberFormat="1" applyFont="1" applyBorder="1" applyAlignment="1">
      <alignment horizontal="center" vertical="center"/>
    </xf>
    <xf numFmtId="0" fontId="33" fillId="0" borderId="0" xfId="0" applyFont="1"/>
    <xf numFmtId="0" fontId="52" fillId="0" borderId="0" xfId="0" applyFont="1"/>
    <xf numFmtId="0" fontId="22" fillId="3" borderId="0" xfId="0" applyFont="1" applyFill="1" applyBorder="1" applyAlignment="1">
      <alignment horizontal="center" vertical="center" wrapText="1"/>
    </xf>
    <xf numFmtId="0" fontId="2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/>
    </xf>
    <xf numFmtId="2" fontId="22" fillId="3" borderId="0" xfId="0" applyNumberFormat="1" applyFont="1" applyFill="1" applyBorder="1" applyAlignment="1">
      <alignment horizontal="center" wrapText="1"/>
    </xf>
    <xf numFmtId="2" fontId="37" fillId="3" borderId="0" xfId="0" applyNumberFormat="1" applyFont="1" applyFill="1" applyBorder="1" applyAlignment="1">
      <alignment horizontal="center"/>
    </xf>
    <xf numFmtId="2" fontId="36" fillId="3" borderId="0" xfId="0" applyNumberFormat="1" applyFont="1" applyFill="1" applyBorder="1" applyAlignment="1">
      <alignment horizontal="center" wrapText="1"/>
    </xf>
    <xf numFmtId="2" fontId="44" fillId="3" borderId="0" xfId="0" applyNumberFormat="1" applyFont="1" applyFill="1" applyBorder="1" applyAlignment="1">
      <alignment horizontal="center"/>
    </xf>
    <xf numFmtId="2" fontId="8" fillId="3" borderId="0" xfId="0" applyNumberFormat="1" applyFont="1" applyFill="1" applyBorder="1" applyAlignment="1">
      <alignment horizontal="center" vertical="center"/>
    </xf>
    <xf numFmtId="2" fontId="23" fillId="0" borderId="0" xfId="0" applyNumberFormat="1" applyFont="1" applyFill="1" applyBorder="1" applyAlignment="1">
      <alignment horizontal="center"/>
    </xf>
    <xf numFmtId="2" fontId="23" fillId="3" borderId="0" xfId="0" applyNumberFormat="1" applyFont="1" applyFill="1" applyBorder="1" applyAlignment="1">
      <alignment horizontal="center"/>
    </xf>
    <xf numFmtId="2" fontId="22" fillId="3" borderId="0" xfId="0" applyNumberFormat="1" applyFont="1" applyFill="1" applyBorder="1" applyAlignment="1">
      <alignment horizontal="center"/>
    </xf>
    <xf numFmtId="0" fontId="23" fillId="0" borderId="2" xfId="0" applyNumberFormat="1" applyFont="1" applyBorder="1" applyAlignment="1">
      <alignment wrapText="1"/>
    </xf>
    <xf numFmtId="168" fontId="3" fillId="0" borderId="2" xfId="0" applyNumberFormat="1" applyFont="1" applyBorder="1" applyAlignment="1"/>
    <xf numFmtId="10" fontId="3" fillId="0" borderId="2" xfId="0" applyNumberFormat="1" applyFont="1" applyBorder="1" applyAlignment="1"/>
    <xf numFmtId="168" fontId="3" fillId="0" borderId="2" xfId="0" applyNumberFormat="1" applyFont="1" applyBorder="1" applyAlignment="1">
      <alignment horizontal="right"/>
    </xf>
    <xf numFmtId="4" fontId="3" fillId="0" borderId="2" xfId="0" applyNumberFormat="1" applyFont="1" applyBorder="1" applyAlignment="1"/>
    <xf numFmtId="2" fontId="3" fillId="0" borderId="2" xfId="0" applyNumberFormat="1" applyFont="1" applyBorder="1" applyAlignment="1">
      <alignment horizontal="center" wrapText="1"/>
    </xf>
    <xf numFmtId="4" fontId="3" fillId="0" borderId="0" xfId="0" applyNumberFormat="1" applyFont="1"/>
    <xf numFmtId="2" fontId="3" fillId="0" borderId="0" xfId="0" applyNumberFormat="1" applyFont="1" applyBorder="1"/>
    <xf numFmtId="0" fontId="22" fillId="3" borderId="2" xfId="0" applyFont="1" applyFill="1" applyBorder="1" applyAlignment="1">
      <alignment vertical="center" wrapText="1"/>
    </xf>
    <xf numFmtId="2" fontId="3" fillId="0" borderId="2" xfId="0" applyNumberFormat="1" applyFont="1" applyBorder="1" applyAlignment="1">
      <alignment wrapText="1"/>
    </xf>
    <xf numFmtId="2" fontId="8" fillId="0" borderId="2" xfId="0" applyNumberFormat="1" applyFont="1" applyBorder="1" applyAlignment="1">
      <alignment wrapText="1"/>
    </xf>
    <xf numFmtId="2" fontId="23" fillId="0" borderId="11" xfId="0" applyNumberFormat="1" applyFont="1" applyBorder="1" applyAlignment="1">
      <alignment horizontal="center" wrapText="1"/>
    </xf>
    <xf numFmtId="0" fontId="23" fillId="0" borderId="2" xfId="0" applyFont="1" applyBorder="1" applyAlignment="1">
      <alignment horizontal="right" wrapText="1"/>
    </xf>
    <xf numFmtId="2" fontId="11" fillId="0" borderId="2" xfId="0" applyNumberFormat="1" applyFont="1" applyBorder="1" applyAlignment="1">
      <alignment horizontal="center"/>
    </xf>
    <xf numFmtId="2" fontId="3" fillId="3" borderId="2" xfId="0" applyNumberFormat="1" applyFont="1" applyFill="1" applyBorder="1"/>
    <xf numFmtId="167" fontId="3" fillId="0" borderId="0" xfId="0" applyNumberFormat="1" applyFont="1"/>
    <xf numFmtId="0" fontId="53" fillId="0" borderId="2" xfId="0" applyFont="1" applyBorder="1" applyAlignment="1">
      <alignment wrapText="1"/>
    </xf>
    <xf numFmtId="2" fontId="54" fillId="0" borderId="2" xfId="0" applyNumberFormat="1" applyFont="1" applyBorder="1" applyAlignment="1">
      <alignment horizontal="center"/>
    </xf>
    <xf numFmtId="2" fontId="55" fillId="0" borderId="2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3" borderId="2" xfId="0" applyFont="1" applyFill="1" applyBorder="1"/>
    <xf numFmtId="2" fontId="3" fillId="3" borderId="2" xfId="0" applyNumberFormat="1" applyFont="1" applyFill="1" applyBorder="1" applyAlignment="1">
      <alignment horizontal="center" vertical="center"/>
    </xf>
    <xf numFmtId="0" fontId="37" fillId="0" borderId="2" xfId="3" applyNumberFormat="1" applyFont="1" applyBorder="1" applyAlignment="1">
      <alignment horizontal="left" wrapText="1"/>
    </xf>
    <xf numFmtId="0" fontId="37" fillId="0" borderId="2" xfId="3" applyNumberFormat="1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22" fillId="0" borderId="0" xfId="0" applyFont="1" applyAlignment="1">
      <alignment wrapText="1"/>
    </xf>
    <xf numFmtId="0" fontId="0" fillId="0" borderId="2" xfId="0" applyBorder="1" applyAlignment="1">
      <alignment wrapText="1"/>
    </xf>
    <xf numFmtId="2" fontId="3" fillId="3" borderId="0" xfId="0" applyNumberFormat="1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20" fillId="3" borderId="0" xfId="0" applyFont="1" applyFill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22" fillId="0" borderId="2" xfId="0" applyNumberFormat="1" applyFont="1" applyBorder="1" applyAlignment="1">
      <alignment horizontal="center" vertical="center"/>
    </xf>
    <xf numFmtId="4" fontId="0" fillId="0" borderId="2" xfId="0" applyNumberFormat="1" applyBorder="1" applyAlignment="1">
      <alignment horizontal="center"/>
    </xf>
    <xf numFmtId="4" fontId="19" fillId="0" borderId="2" xfId="0" applyNumberFormat="1" applyFont="1" applyBorder="1" applyAlignment="1">
      <alignment horizontal="center" vertical="center"/>
    </xf>
    <xf numFmtId="0" fontId="24" fillId="3" borderId="2" xfId="0" applyFont="1" applyFill="1" applyBorder="1" applyAlignment="1">
      <alignment wrapText="1"/>
    </xf>
    <xf numFmtId="2" fontId="24" fillId="0" borderId="2" xfId="0" applyNumberFormat="1" applyFont="1" applyBorder="1" applyAlignment="1">
      <alignment horizontal="center" vertical="center"/>
    </xf>
    <xf numFmtId="4" fontId="22" fillId="0" borderId="2" xfId="0" applyNumberFormat="1" applyFont="1" applyBorder="1" applyAlignment="1">
      <alignment horizontal="center"/>
    </xf>
    <xf numFmtId="4" fontId="27" fillId="0" borderId="2" xfId="0" applyNumberFormat="1" applyFont="1" applyBorder="1" applyAlignment="1">
      <alignment horizontal="center"/>
    </xf>
    <xf numFmtId="2" fontId="32" fillId="0" borderId="0" xfId="0" applyNumberFormat="1" applyFont="1"/>
    <xf numFmtId="0" fontId="32" fillId="3" borderId="0" xfId="0" applyFont="1" applyFill="1"/>
    <xf numFmtId="0" fontId="22" fillId="0" borderId="2" xfId="0" applyFont="1" applyBorder="1" applyAlignment="1">
      <alignment vertical="center"/>
    </xf>
    <xf numFmtId="4" fontId="25" fillId="0" borderId="2" xfId="0" applyNumberFormat="1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1" fontId="3" fillId="5" borderId="0" xfId="0" applyNumberFormat="1" applyFont="1" applyFill="1" applyAlignment="1">
      <alignment horizontal="center"/>
    </xf>
    <xf numFmtId="1" fontId="3" fillId="0" borderId="0" xfId="0" applyNumberFormat="1" applyFont="1"/>
    <xf numFmtId="2" fontId="8" fillId="2" borderId="20" xfId="0" applyNumberFormat="1" applyFont="1" applyFill="1" applyBorder="1" applyAlignment="1">
      <alignment horizontal="center"/>
    </xf>
    <xf numFmtId="0" fontId="22" fillId="3" borderId="4" xfId="0" applyFont="1" applyFill="1" applyBorder="1" applyAlignment="1">
      <alignment horizontal="center" vertical="center" wrapText="1"/>
    </xf>
    <xf numFmtId="4" fontId="27" fillId="3" borderId="0" xfId="0" applyNumberFormat="1" applyFont="1" applyFill="1"/>
    <xf numFmtId="0" fontId="22" fillId="3" borderId="17" xfId="0" applyFont="1" applyFill="1" applyBorder="1" applyAlignment="1">
      <alignment vertical="center" wrapText="1"/>
    </xf>
    <xf numFmtId="0" fontId="33" fillId="0" borderId="2" xfId="0" applyFont="1" applyBorder="1" applyAlignment="1">
      <alignment horizontal="center" vertical="center"/>
    </xf>
    <xf numFmtId="0" fontId="33" fillId="0" borderId="2" xfId="0" applyFont="1" applyBorder="1" applyAlignment="1">
      <alignment horizontal="right"/>
    </xf>
    <xf numFmtId="0" fontId="23" fillId="3" borderId="2" xfId="0" applyFont="1" applyFill="1" applyBorder="1" applyAlignment="1">
      <alignment horizontal="center" vertical="top" wrapText="1"/>
    </xf>
    <xf numFmtId="1" fontId="3" fillId="3" borderId="2" xfId="0" applyNumberFormat="1" applyFont="1" applyFill="1" applyBorder="1" applyAlignment="1"/>
    <xf numFmtId="1" fontId="43" fillId="3" borderId="2" xfId="0" applyNumberFormat="1" applyFont="1" applyFill="1" applyBorder="1" applyAlignment="1">
      <alignment horizontal="center" wrapText="1"/>
    </xf>
    <xf numFmtId="1" fontId="22" fillId="3" borderId="2" xfId="0" applyNumberFormat="1" applyFont="1" applyFill="1" applyBorder="1" applyAlignment="1">
      <alignment horizontal="center" wrapText="1"/>
    </xf>
    <xf numFmtId="2" fontId="33" fillId="14" borderId="0" xfId="0" applyNumberFormat="1" applyFont="1" applyFill="1"/>
    <xf numFmtId="0" fontId="33" fillId="14" borderId="0" xfId="0" applyFont="1" applyFill="1"/>
    <xf numFmtId="1" fontId="3" fillId="0" borderId="0" xfId="0" applyNumberFormat="1" applyFont="1" applyAlignment="1">
      <alignment horizontal="center"/>
    </xf>
    <xf numFmtId="2" fontId="3" fillId="0" borderId="17" xfId="0" applyNumberFormat="1" applyFont="1" applyBorder="1" applyAlignment="1">
      <alignment horizontal="center" wrapText="1"/>
    </xf>
    <xf numFmtId="0" fontId="3" fillId="0" borderId="17" xfId="0" applyFont="1" applyBorder="1"/>
    <xf numFmtId="0" fontId="23" fillId="3" borderId="2" xfId="0" applyFont="1" applyFill="1" applyBorder="1" applyAlignment="1">
      <alignment horizontal="center" wrapText="1"/>
    </xf>
    <xf numFmtId="1" fontId="23" fillId="3" borderId="2" xfId="0" applyNumberFormat="1" applyFont="1" applyFill="1" applyBorder="1" applyAlignment="1">
      <alignment horizontal="center"/>
    </xf>
    <xf numFmtId="1" fontId="23" fillId="3" borderId="2" xfId="0" applyNumberFormat="1" applyFont="1" applyFill="1" applyBorder="1" applyAlignment="1">
      <alignment horizontal="center" vertical="top" wrapText="1"/>
    </xf>
    <xf numFmtId="1" fontId="23" fillId="3" borderId="2" xfId="0" applyNumberFormat="1" applyFont="1" applyFill="1" applyBorder="1" applyAlignment="1">
      <alignment horizontal="center" vertical="top"/>
    </xf>
    <xf numFmtId="0" fontId="24" fillId="3" borderId="2" xfId="0" applyFont="1" applyFill="1" applyBorder="1" applyAlignment="1">
      <alignment horizontal="center"/>
    </xf>
    <xf numFmtId="0" fontId="13" fillId="3" borderId="2" xfId="0" applyFont="1" applyFill="1" applyBorder="1"/>
    <xf numFmtId="1" fontId="13" fillId="3" borderId="2" xfId="0" applyNumberFormat="1" applyFont="1" applyFill="1" applyBorder="1" applyAlignment="1"/>
    <xf numFmtId="1" fontId="39" fillId="3" borderId="2" xfId="0" applyNumberFormat="1" applyFont="1" applyFill="1" applyBorder="1" applyAlignment="1">
      <alignment horizontal="center" wrapText="1"/>
    </xf>
    <xf numFmtId="0" fontId="11" fillId="3" borderId="2" xfId="0" applyFont="1" applyFill="1" applyBorder="1"/>
    <xf numFmtId="1" fontId="0" fillId="3" borderId="0" xfId="0" applyNumberFormat="1" applyFill="1"/>
    <xf numFmtId="2" fontId="57" fillId="5" borderId="0" xfId="0" applyNumberFormat="1" applyFont="1" applyFill="1"/>
    <xf numFmtId="4" fontId="56" fillId="3" borderId="0" xfId="0" applyNumberFormat="1" applyFont="1" applyFill="1"/>
    <xf numFmtId="0" fontId="3" fillId="0" borderId="2" xfId="0" applyFont="1" applyBorder="1" applyAlignment="1"/>
    <xf numFmtId="1" fontId="3" fillId="0" borderId="0" xfId="0" applyNumberFormat="1" applyFont="1" applyAlignment="1">
      <alignment horizontal="center" vertical="center"/>
    </xf>
    <xf numFmtId="1" fontId="23" fillId="3" borderId="0" xfId="0" applyNumberFormat="1" applyFont="1" applyFill="1" applyBorder="1" applyAlignment="1">
      <alignment horizontal="center" wrapText="1"/>
    </xf>
    <xf numFmtId="1" fontId="22" fillId="2" borderId="2" xfId="0" applyNumberFormat="1" applyFont="1" applyFill="1" applyBorder="1" applyAlignment="1">
      <alignment horizontal="center" vertical="center"/>
    </xf>
    <xf numFmtId="1" fontId="8" fillId="2" borderId="2" xfId="0" applyNumberFormat="1" applyFont="1" applyFill="1" applyBorder="1" applyAlignment="1">
      <alignment horizontal="center" vertical="center"/>
    </xf>
    <xf numFmtId="1" fontId="22" fillId="2" borderId="2" xfId="0" applyNumberFormat="1" applyFont="1" applyFill="1" applyBorder="1" applyAlignment="1">
      <alignment vertical="center"/>
    </xf>
    <xf numFmtId="1" fontId="22" fillId="3" borderId="2" xfId="0" applyNumberFormat="1" applyFont="1" applyFill="1" applyBorder="1" applyAlignment="1">
      <alignment horizontal="center"/>
    </xf>
    <xf numFmtId="4" fontId="3" fillId="0" borderId="17" xfId="0" applyNumberFormat="1" applyFont="1" applyBorder="1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168" fontId="3" fillId="0" borderId="0" xfId="0" applyNumberFormat="1" applyFont="1" applyBorder="1" applyAlignment="1"/>
    <xf numFmtId="0" fontId="3" fillId="3" borderId="2" xfId="0" applyFont="1" applyFill="1" applyBorder="1" applyAlignment="1">
      <alignment horizontal="center"/>
    </xf>
    <xf numFmtId="168" fontId="3" fillId="3" borderId="2" xfId="0" applyNumberFormat="1" applyFont="1" applyFill="1" applyBorder="1" applyAlignment="1"/>
    <xf numFmtId="10" fontId="3" fillId="3" borderId="2" xfId="0" applyNumberFormat="1" applyFont="1" applyFill="1" applyBorder="1" applyAlignment="1"/>
    <xf numFmtId="168" fontId="3" fillId="3" borderId="2" xfId="0" applyNumberFormat="1" applyFont="1" applyFill="1" applyBorder="1" applyAlignment="1">
      <alignment horizontal="right"/>
    </xf>
    <xf numFmtId="4" fontId="3" fillId="3" borderId="2" xfId="0" applyNumberFormat="1" applyFont="1" applyFill="1" applyBorder="1" applyAlignment="1"/>
    <xf numFmtId="10" fontId="3" fillId="3" borderId="2" xfId="0" applyNumberFormat="1" applyFont="1" applyFill="1" applyBorder="1"/>
    <xf numFmtId="2" fontId="3" fillId="0" borderId="11" xfId="0" applyNumberFormat="1" applyFont="1" applyBorder="1" applyAlignment="1">
      <alignment horizontal="center" wrapText="1"/>
    </xf>
    <xf numFmtId="0" fontId="3" fillId="0" borderId="17" xfId="0" applyFont="1" applyBorder="1" applyAlignment="1">
      <alignment wrapText="1"/>
    </xf>
    <xf numFmtId="2" fontId="8" fillId="0" borderId="17" xfId="0" applyNumberFormat="1" applyFont="1" applyBorder="1" applyAlignment="1">
      <alignment wrapText="1"/>
    </xf>
    <xf numFmtId="2" fontId="3" fillId="0" borderId="17" xfId="0" applyNumberFormat="1" applyFont="1" applyBorder="1" applyAlignment="1">
      <alignment wrapText="1"/>
    </xf>
    <xf numFmtId="0" fontId="33" fillId="0" borderId="2" xfId="0" applyFont="1" applyBorder="1"/>
    <xf numFmtId="4" fontId="3" fillId="3" borderId="0" xfId="0" applyNumberFormat="1" applyFont="1" applyFill="1"/>
    <xf numFmtId="1" fontId="33" fillId="0" borderId="0" xfId="0" applyNumberFormat="1" applyFont="1"/>
    <xf numFmtId="2" fontId="33" fillId="3" borderId="0" xfId="0" applyNumberFormat="1" applyFont="1" applyFill="1"/>
    <xf numFmtId="0" fontId="44" fillId="0" borderId="0" xfId="0" applyFont="1" applyAlignment="1"/>
    <xf numFmtId="0" fontId="3" fillId="0" borderId="0" xfId="0" applyFont="1" applyAlignment="1">
      <alignment horizontal="right" wrapText="1"/>
    </xf>
    <xf numFmtId="0" fontId="3" fillId="0" borderId="21" xfId="0" applyFont="1" applyBorder="1" applyAlignment="1">
      <alignment horizontal="left" wrapText="1"/>
    </xf>
    <xf numFmtId="0" fontId="3" fillId="0" borderId="4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21" xfId="0" applyFont="1" applyBorder="1" applyAlignment="1">
      <alignment horizontal="right" wrapText="1"/>
    </xf>
    <xf numFmtId="0" fontId="44" fillId="0" borderId="0" xfId="0" applyFont="1" applyAlignment="1">
      <alignment horizontal="right"/>
    </xf>
    <xf numFmtId="0" fontId="2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2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4" fontId="26" fillId="0" borderId="17" xfId="0" applyNumberFormat="1" applyFont="1" applyBorder="1" applyAlignment="1">
      <alignment horizontal="center" vertical="center"/>
    </xf>
    <xf numFmtId="4" fontId="26" fillId="0" borderId="20" xfId="0" applyNumberFormat="1" applyFont="1" applyBorder="1" applyAlignment="1">
      <alignment horizontal="center" vertical="center"/>
    </xf>
    <xf numFmtId="4" fontId="26" fillId="0" borderId="3" xfId="0" applyNumberFormat="1" applyFont="1" applyBorder="1" applyAlignment="1">
      <alignment horizontal="center" vertical="center"/>
    </xf>
    <xf numFmtId="2" fontId="24" fillId="0" borderId="17" xfId="0" applyNumberFormat="1" applyFont="1" applyBorder="1" applyAlignment="1">
      <alignment horizontal="center" vertical="center"/>
    </xf>
    <xf numFmtId="2" fontId="24" fillId="0" borderId="20" xfId="0" applyNumberFormat="1" applyFont="1" applyBorder="1" applyAlignment="1">
      <alignment horizontal="center" vertical="center"/>
    </xf>
    <xf numFmtId="2" fontId="24" fillId="0" borderId="3" xfId="0" applyNumberFormat="1" applyFont="1" applyBorder="1" applyAlignment="1">
      <alignment horizontal="center" vertical="center"/>
    </xf>
    <xf numFmtId="0" fontId="27" fillId="0" borderId="0" xfId="0" applyFont="1" applyAlignment="1">
      <alignment wrapText="1"/>
    </xf>
    <xf numFmtId="0" fontId="22" fillId="0" borderId="20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11" fillId="2" borderId="0" xfId="0" applyFont="1" applyFill="1" applyAlignment="1">
      <alignment horizontal="left" wrapText="1"/>
    </xf>
    <xf numFmtId="0" fontId="3" fillId="0" borderId="0" xfId="0" applyFont="1" applyAlignment="1">
      <alignment horizontal="left" wrapText="1" shrinkToFit="1"/>
    </xf>
    <xf numFmtId="0" fontId="3" fillId="0" borderId="0" xfId="0" applyFont="1" applyAlignment="1">
      <alignment horizontal="left" vertical="center" wrapText="1" shrinkToFit="1"/>
    </xf>
    <xf numFmtId="0" fontId="3" fillId="0" borderId="0" xfId="0" applyFont="1" applyAlignment="1">
      <alignment horizontal="left" vertical="top" wrapText="1"/>
    </xf>
    <xf numFmtId="0" fontId="8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9" fillId="0" borderId="0" xfId="2" applyFont="1" applyAlignment="1">
      <alignment horizontal="center"/>
    </xf>
    <xf numFmtId="0" fontId="25" fillId="3" borderId="22" xfId="2" applyFill="1" applyBorder="1" applyAlignment="1">
      <alignment horizontal="center" vertical="center"/>
    </xf>
    <xf numFmtId="0" fontId="25" fillId="3" borderId="14" xfId="2" applyFill="1" applyBorder="1" applyAlignment="1">
      <alignment horizontal="center" vertical="center"/>
    </xf>
    <xf numFmtId="0" fontId="25" fillId="3" borderId="22" xfId="2" applyFont="1" applyFill="1" applyBorder="1" applyAlignment="1">
      <alignment horizontal="center" vertical="center" wrapText="1"/>
    </xf>
    <xf numFmtId="0" fontId="25" fillId="3" borderId="14" xfId="2" applyFill="1" applyBorder="1" applyAlignment="1">
      <alignment horizontal="center" vertical="center" wrapText="1"/>
    </xf>
    <xf numFmtId="2" fontId="23" fillId="3" borderId="22" xfId="2" applyNumberFormat="1" applyFont="1" applyFill="1" applyBorder="1" applyAlignment="1">
      <alignment horizontal="center" vertical="center" wrapText="1"/>
    </xf>
    <xf numFmtId="2" fontId="25" fillId="3" borderId="14" xfId="2" applyNumberFormat="1" applyFill="1" applyBorder="1" applyAlignment="1">
      <alignment horizontal="center" vertical="center" wrapText="1"/>
    </xf>
    <xf numFmtId="0" fontId="23" fillId="3" borderId="22" xfId="2" applyFont="1" applyFill="1" applyBorder="1" applyAlignment="1">
      <alignment horizontal="center" vertical="center" wrapText="1"/>
    </xf>
    <xf numFmtId="2" fontId="37" fillId="3" borderId="22" xfId="2" applyNumberFormat="1" applyFont="1" applyFill="1" applyBorder="1" applyAlignment="1">
      <alignment horizontal="center" vertical="center" wrapText="1"/>
    </xf>
    <xf numFmtId="2" fontId="30" fillId="3" borderId="14" xfId="2" applyNumberFormat="1" applyFont="1" applyFill="1" applyBorder="1" applyAlignment="1">
      <alignment horizontal="center" vertical="center" wrapText="1"/>
    </xf>
    <xf numFmtId="2" fontId="25" fillId="3" borderId="22" xfId="2" applyNumberFormat="1" applyFont="1" applyFill="1" applyBorder="1" applyAlignment="1">
      <alignment vertical="center" wrapText="1"/>
    </xf>
    <xf numFmtId="2" fontId="25" fillId="3" borderId="14" xfId="2" applyNumberFormat="1" applyFill="1" applyBorder="1" applyAlignment="1">
      <alignment vertical="center" wrapText="1"/>
    </xf>
    <xf numFmtId="0" fontId="25" fillId="0" borderId="17" xfId="2" applyFont="1" applyBorder="1" applyAlignment="1">
      <alignment horizontal="center" wrapText="1"/>
    </xf>
    <xf numFmtId="0" fontId="25" fillId="0" borderId="3" xfId="2" applyBorder="1" applyAlignment="1">
      <alignment horizontal="center" wrapText="1"/>
    </xf>
    <xf numFmtId="2" fontId="25" fillId="3" borderId="22" xfId="2" applyNumberFormat="1" applyFont="1" applyFill="1" applyBorder="1" applyAlignment="1">
      <alignment horizontal="center" vertical="center" wrapText="1"/>
    </xf>
    <xf numFmtId="0" fontId="25" fillId="3" borderId="23" xfId="2" applyFont="1" applyFill="1" applyBorder="1" applyAlignment="1">
      <alignment horizontal="center" vertical="center" wrapText="1"/>
    </xf>
    <xf numFmtId="0" fontId="25" fillId="3" borderId="24" xfId="2" applyFill="1" applyBorder="1" applyAlignment="1">
      <alignment horizontal="center" vertical="center" wrapText="1"/>
    </xf>
    <xf numFmtId="0" fontId="25" fillId="0" borderId="25" xfId="2" applyFont="1" applyBorder="1" applyAlignment="1">
      <alignment horizontal="center" wrapText="1"/>
    </xf>
    <xf numFmtId="0" fontId="25" fillId="0" borderId="6" xfId="2" applyBorder="1" applyAlignment="1">
      <alignment horizontal="center" wrapText="1"/>
    </xf>
    <xf numFmtId="0" fontId="23" fillId="0" borderId="1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37" fillId="0" borderId="8" xfId="0" applyFont="1" applyBorder="1" applyAlignment="1">
      <alignment horizontal="center" vertical="top" wrapText="1"/>
    </xf>
    <xf numFmtId="0" fontId="37" fillId="0" borderId="1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23" fillId="0" borderId="2" xfId="0" applyFont="1" applyBorder="1" applyAlignment="1">
      <alignment horizontal="center" vertical="top" wrapText="1"/>
    </xf>
    <xf numFmtId="0" fontId="37" fillId="0" borderId="17" xfId="0" applyFont="1" applyBorder="1" applyAlignment="1">
      <alignment horizontal="center" vertical="top" textRotation="90" wrapText="1"/>
    </xf>
    <xf numFmtId="0" fontId="37" fillId="0" borderId="20" xfId="0" applyFont="1" applyBorder="1" applyAlignment="1">
      <alignment horizontal="center" vertical="top" textRotation="90" wrapText="1"/>
    </xf>
    <xf numFmtId="0" fontId="37" fillId="0" borderId="3" xfId="0" applyFont="1" applyBorder="1" applyAlignment="1">
      <alignment horizontal="center" vertical="top" textRotation="90" wrapText="1"/>
    </xf>
    <xf numFmtId="0" fontId="23" fillId="0" borderId="4" xfId="0" applyFont="1" applyBorder="1" applyAlignment="1">
      <alignment horizontal="center" vertical="top" wrapText="1"/>
    </xf>
    <xf numFmtId="0" fontId="20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2" fillId="3" borderId="0" xfId="0" applyFont="1" applyFill="1" applyAlignment="1">
      <alignment horizontal="center" wrapText="1"/>
    </xf>
    <xf numFmtId="0" fontId="8" fillId="0" borderId="17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22" fillId="3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/>
    </xf>
    <xf numFmtId="9" fontId="8" fillId="0" borderId="2" xfId="0" applyNumberFormat="1" applyFont="1" applyBorder="1" applyAlignment="1">
      <alignment horizontal="center" vertical="top"/>
    </xf>
    <xf numFmtId="0" fontId="22" fillId="3" borderId="4" xfId="0" applyFont="1" applyFill="1" applyBorder="1" applyAlignment="1">
      <alignment horizontal="center" vertical="center" wrapText="1"/>
    </xf>
    <xf numFmtId="0" fontId="22" fillId="3" borderId="8" xfId="0" applyFont="1" applyFill="1" applyBorder="1" applyAlignment="1">
      <alignment horizontal="center" vertical="center" wrapText="1"/>
    </xf>
    <xf numFmtId="0" fontId="22" fillId="3" borderId="1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22" fillId="3" borderId="17" xfId="0" applyFont="1" applyFill="1" applyBorder="1" applyAlignment="1">
      <alignment horizontal="center" vertical="center" wrapText="1"/>
    </xf>
    <xf numFmtId="0" fontId="22" fillId="3" borderId="20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37" fillId="3" borderId="17" xfId="0" applyFont="1" applyFill="1" applyBorder="1" applyAlignment="1">
      <alignment horizontal="center" vertical="center" wrapText="1"/>
    </xf>
    <xf numFmtId="0" fontId="37" fillId="3" borderId="3" xfId="0" applyFont="1" applyFill="1" applyBorder="1" applyAlignment="1">
      <alignment horizontal="center" vertical="center" wrapText="1"/>
    </xf>
    <xf numFmtId="0" fontId="22" fillId="3" borderId="26" xfId="0" applyFont="1" applyFill="1" applyBorder="1" applyAlignment="1">
      <alignment horizontal="center" vertical="center" wrapText="1"/>
    </xf>
    <xf numFmtId="0" fontId="22" fillId="3" borderId="0" xfId="0" applyFont="1" applyFill="1" applyBorder="1" applyAlignment="1">
      <alignment horizontal="center" vertical="center" wrapText="1"/>
    </xf>
    <xf numFmtId="0" fontId="22" fillId="3" borderId="21" xfId="0" applyFont="1" applyFill="1" applyBorder="1" applyAlignment="1">
      <alignment horizontal="center" vertical="center" wrapText="1"/>
    </xf>
    <xf numFmtId="9" fontId="8" fillId="0" borderId="17" xfId="0" applyNumberFormat="1" applyFont="1" applyBorder="1" applyAlignment="1">
      <alignment horizontal="center" vertical="top"/>
    </xf>
    <xf numFmtId="9" fontId="8" fillId="0" borderId="3" xfId="0" applyNumberFormat="1" applyFont="1" applyBorder="1" applyAlignment="1">
      <alignment horizontal="center" vertical="top"/>
    </xf>
    <xf numFmtId="0" fontId="22" fillId="3" borderId="4" xfId="0" applyFont="1" applyFill="1" applyBorder="1" applyAlignment="1">
      <alignment horizontal="center" vertical="center"/>
    </xf>
    <xf numFmtId="0" fontId="22" fillId="3" borderId="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1" fontId="22" fillId="3" borderId="17" xfId="0" applyNumberFormat="1" applyFont="1" applyFill="1" applyBorder="1" applyAlignment="1">
      <alignment horizontal="center" vertical="center" wrapText="1"/>
    </xf>
    <xf numFmtId="1" fontId="22" fillId="3" borderId="20" xfId="0" applyNumberFormat="1" applyFont="1" applyFill="1" applyBorder="1" applyAlignment="1">
      <alignment horizontal="center" vertical="center" wrapText="1"/>
    </xf>
    <xf numFmtId="1" fontId="22" fillId="3" borderId="3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2" fontId="22" fillId="3" borderId="17" xfId="0" applyNumberFormat="1" applyFont="1" applyFill="1" applyBorder="1" applyAlignment="1">
      <alignment horizontal="center" vertical="center" wrapText="1"/>
    </xf>
    <xf numFmtId="2" fontId="22" fillId="3" borderId="20" xfId="0" applyNumberFormat="1" applyFont="1" applyFill="1" applyBorder="1" applyAlignment="1">
      <alignment horizontal="center" vertical="center" wrapText="1"/>
    </xf>
    <xf numFmtId="2" fontId="22" fillId="3" borderId="3" xfId="0" applyNumberFormat="1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/>
    </xf>
    <xf numFmtId="0" fontId="27" fillId="0" borderId="11" xfId="0" applyFont="1" applyBorder="1" applyAlignment="1">
      <alignment horizontal="center"/>
    </xf>
    <xf numFmtId="0" fontId="21" fillId="0" borderId="2" xfId="0" applyFont="1" applyBorder="1" applyAlignment="1">
      <alignment horizontal="center" vertical="center" wrapText="1"/>
    </xf>
    <xf numFmtId="0" fontId="28" fillId="3" borderId="17" xfId="0" applyFont="1" applyFill="1" applyBorder="1" applyAlignment="1">
      <alignment horizontal="center" vertical="center"/>
    </xf>
    <xf numFmtId="0" fontId="28" fillId="3" borderId="3" xfId="0" applyFont="1" applyFill="1" applyBorder="1" applyAlignment="1">
      <alignment horizontal="center" vertical="center"/>
    </xf>
    <xf numFmtId="0" fontId="28" fillId="3" borderId="4" xfId="0" applyFont="1" applyFill="1" applyBorder="1" applyAlignment="1">
      <alignment horizontal="center" vertical="center"/>
    </xf>
    <xf numFmtId="0" fontId="28" fillId="3" borderId="8" xfId="0" applyFont="1" applyFill="1" applyBorder="1" applyAlignment="1">
      <alignment horizontal="center" vertical="center"/>
    </xf>
    <xf numFmtId="0" fontId="28" fillId="3" borderId="1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2" fillId="0" borderId="0" xfId="0" applyFont="1" applyBorder="1" applyAlignment="1">
      <alignment horizontal="center" vertical="center" wrapText="1"/>
    </xf>
    <xf numFmtId="0" fontId="39" fillId="3" borderId="17" xfId="0" applyFont="1" applyFill="1" applyBorder="1" applyAlignment="1">
      <alignment horizontal="center" vertical="center" wrapText="1"/>
    </xf>
    <xf numFmtId="0" fontId="39" fillId="3" borderId="3" xfId="0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wrapText="1"/>
    </xf>
    <xf numFmtId="0" fontId="22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28" fillId="0" borderId="4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0" fontId="25" fillId="0" borderId="11" xfId="1" applyBorder="1" applyAlignment="1">
      <alignment horizontal="center"/>
    </xf>
    <xf numFmtId="0" fontId="25" fillId="0" borderId="2" xfId="1" applyBorder="1" applyAlignment="1">
      <alignment horizontal="center"/>
    </xf>
    <xf numFmtId="0" fontId="34" fillId="0" borderId="2" xfId="0" applyFont="1" applyBorder="1" applyAlignment="1">
      <alignment horizontal="center" wrapText="1"/>
    </xf>
    <xf numFmtId="0" fontId="25" fillId="0" borderId="0" xfId="1" applyAlignment="1">
      <alignment horizontal="center"/>
    </xf>
    <xf numFmtId="0" fontId="28" fillId="3" borderId="4" xfId="0" applyFont="1" applyFill="1" applyBorder="1" applyAlignment="1">
      <alignment horizontal="center" vertical="center" wrapText="1"/>
    </xf>
    <xf numFmtId="0" fontId="28" fillId="3" borderId="8" xfId="0" applyFont="1" applyFill="1" applyBorder="1" applyAlignment="1">
      <alignment horizontal="center" vertical="center" wrapText="1"/>
    </xf>
    <xf numFmtId="0" fontId="28" fillId="3" borderId="11" xfId="0" applyFont="1" applyFill="1" applyBorder="1" applyAlignment="1">
      <alignment horizontal="center" vertical="center" wrapText="1"/>
    </xf>
    <xf numFmtId="2" fontId="9" fillId="3" borderId="0" xfId="0" applyNumberFormat="1" applyFont="1" applyFill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1" fontId="8" fillId="0" borderId="17" xfId="0" applyNumberFormat="1" applyFont="1" applyBorder="1" applyAlignment="1">
      <alignment horizontal="center" vertical="center"/>
    </xf>
    <xf numFmtId="1" fontId="21" fillId="0" borderId="20" xfId="0" applyNumberFormat="1" applyFont="1" applyBorder="1" applyAlignment="1">
      <alignment horizontal="center" vertical="center"/>
    </xf>
    <xf numFmtId="1" fontId="8" fillId="0" borderId="20" xfId="0" applyNumberFormat="1" applyFont="1" applyBorder="1" applyAlignment="1">
      <alignment horizontal="center" vertical="center"/>
    </xf>
    <xf numFmtId="1" fontId="21" fillId="0" borderId="3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7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44" fillId="0" borderId="0" xfId="0" applyFont="1" applyAlignment="1">
      <alignment horizontal="right"/>
    </xf>
    <xf numFmtId="0" fontId="3" fillId="0" borderId="0" xfId="0" applyFont="1" applyBorder="1" applyAlignment="1">
      <alignment horizontal="center" wrapText="1"/>
    </xf>
    <xf numFmtId="0" fontId="3" fillId="0" borderId="0" xfId="0" applyFont="1"/>
    <xf numFmtId="0" fontId="3" fillId="0" borderId="0" xfId="0" applyFont="1" applyBorder="1"/>
    <xf numFmtId="0" fontId="3" fillId="0" borderId="0" xfId="0" applyFont="1" applyAlignment="1">
      <alignment horizontal="right" wrapText="1"/>
    </xf>
    <xf numFmtId="0" fontId="59" fillId="0" borderId="0" xfId="0" applyFont="1" applyAlignment="1">
      <alignment horizontal="center" wrapText="1"/>
    </xf>
    <xf numFmtId="0" fontId="8" fillId="0" borderId="21" xfId="0" applyFont="1" applyBorder="1" applyAlignment="1">
      <alignment horizontal="left" wrapText="1"/>
    </xf>
    <xf numFmtId="0" fontId="58" fillId="0" borderId="0" xfId="0" applyFont="1" applyAlignment="1">
      <alignment horizontal="left" vertical="top" wrapText="1"/>
    </xf>
    <xf numFmtId="49" fontId="3" fillId="0" borderId="4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14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</cellXfs>
  <cellStyles count="4">
    <cellStyle name="Обычный" xfId="0" builtinId="0"/>
    <cellStyle name="Обычный_226" xfId="1"/>
    <cellStyle name="Обычный_Структура 01.09.2007 (3)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2.xml"/><Relationship Id="rId63" Type="http://schemas.openxmlformats.org/officeDocument/2006/relationships/externalLink" Target="externalLinks/externalLink1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externalLink" Target="externalLinks/externalLink5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4.xml"/><Relationship Id="rId61" Type="http://schemas.openxmlformats.org/officeDocument/2006/relationships/externalLink" Target="externalLinks/externalLink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7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3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6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1.xml"/><Relationship Id="rId62" Type="http://schemas.openxmlformats.org/officeDocument/2006/relationships/externalLink" Target="externalLinks/externalLink9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4" Type="http://schemas.openxmlformats.org/officeDocument/2006/relationships/image" Target="../media/image4.wmf"/></Relationships>
</file>

<file path=xl/drawings/_rels/vmlDrawing2.vml.rels><?xml version="1.0" encoding="UTF-8" standalone="yes"?>
<Relationships xmlns="http://schemas.openxmlformats.org/package/2006/relationships"><Relationship Id="rId13" Type="http://schemas.openxmlformats.org/officeDocument/2006/relationships/image" Target="../media/image17.wmf"/><Relationship Id="rId18" Type="http://schemas.openxmlformats.org/officeDocument/2006/relationships/image" Target="../media/image22.wmf"/><Relationship Id="rId26" Type="http://schemas.openxmlformats.org/officeDocument/2006/relationships/image" Target="../media/image30.wmf"/><Relationship Id="rId39" Type="http://schemas.openxmlformats.org/officeDocument/2006/relationships/image" Target="../media/image43.wmf"/><Relationship Id="rId21" Type="http://schemas.openxmlformats.org/officeDocument/2006/relationships/image" Target="../media/image25.wmf"/><Relationship Id="rId34" Type="http://schemas.openxmlformats.org/officeDocument/2006/relationships/image" Target="../media/image38.wmf"/><Relationship Id="rId42" Type="http://schemas.openxmlformats.org/officeDocument/2006/relationships/image" Target="../media/image46.wmf"/><Relationship Id="rId47" Type="http://schemas.openxmlformats.org/officeDocument/2006/relationships/image" Target="../media/image51.wmf"/><Relationship Id="rId50" Type="http://schemas.openxmlformats.org/officeDocument/2006/relationships/image" Target="../media/image54.wmf"/><Relationship Id="rId55" Type="http://schemas.openxmlformats.org/officeDocument/2006/relationships/image" Target="../media/image59.wmf"/><Relationship Id="rId63" Type="http://schemas.openxmlformats.org/officeDocument/2006/relationships/image" Target="../media/image67.wmf"/><Relationship Id="rId68" Type="http://schemas.openxmlformats.org/officeDocument/2006/relationships/image" Target="../media/image72.wmf"/><Relationship Id="rId7" Type="http://schemas.openxmlformats.org/officeDocument/2006/relationships/image" Target="../media/image11.wmf"/><Relationship Id="rId2" Type="http://schemas.openxmlformats.org/officeDocument/2006/relationships/image" Target="../media/image6.wmf"/><Relationship Id="rId16" Type="http://schemas.openxmlformats.org/officeDocument/2006/relationships/image" Target="../media/image20.wmf"/><Relationship Id="rId29" Type="http://schemas.openxmlformats.org/officeDocument/2006/relationships/image" Target="../media/image33.wmf"/><Relationship Id="rId1" Type="http://schemas.openxmlformats.org/officeDocument/2006/relationships/image" Target="../media/image5.wmf"/><Relationship Id="rId6" Type="http://schemas.openxmlformats.org/officeDocument/2006/relationships/image" Target="../media/image10.wmf"/><Relationship Id="rId11" Type="http://schemas.openxmlformats.org/officeDocument/2006/relationships/image" Target="../media/image15.wmf"/><Relationship Id="rId24" Type="http://schemas.openxmlformats.org/officeDocument/2006/relationships/image" Target="../media/image28.wmf"/><Relationship Id="rId32" Type="http://schemas.openxmlformats.org/officeDocument/2006/relationships/image" Target="../media/image36.wmf"/><Relationship Id="rId37" Type="http://schemas.openxmlformats.org/officeDocument/2006/relationships/image" Target="../media/image41.wmf"/><Relationship Id="rId40" Type="http://schemas.openxmlformats.org/officeDocument/2006/relationships/image" Target="../media/image44.wmf"/><Relationship Id="rId45" Type="http://schemas.openxmlformats.org/officeDocument/2006/relationships/image" Target="../media/image49.wmf"/><Relationship Id="rId53" Type="http://schemas.openxmlformats.org/officeDocument/2006/relationships/image" Target="../media/image57.wmf"/><Relationship Id="rId58" Type="http://schemas.openxmlformats.org/officeDocument/2006/relationships/image" Target="../media/image62.wmf"/><Relationship Id="rId66" Type="http://schemas.openxmlformats.org/officeDocument/2006/relationships/image" Target="../media/image70.wmf"/><Relationship Id="rId5" Type="http://schemas.openxmlformats.org/officeDocument/2006/relationships/image" Target="../media/image9.wmf"/><Relationship Id="rId15" Type="http://schemas.openxmlformats.org/officeDocument/2006/relationships/image" Target="../media/image19.wmf"/><Relationship Id="rId23" Type="http://schemas.openxmlformats.org/officeDocument/2006/relationships/image" Target="../media/image27.wmf"/><Relationship Id="rId28" Type="http://schemas.openxmlformats.org/officeDocument/2006/relationships/image" Target="../media/image32.wmf"/><Relationship Id="rId36" Type="http://schemas.openxmlformats.org/officeDocument/2006/relationships/image" Target="../media/image40.wmf"/><Relationship Id="rId49" Type="http://schemas.openxmlformats.org/officeDocument/2006/relationships/image" Target="../media/image53.wmf"/><Relationship Id="rId57" Type="http://schemas.openxmlformats.org/officeDocument/2006/relationships/image" Target="../media/image61.wmf"/><Relationship Id="rId61" Type="http://schemas.openxmlformats.org/officeDocument/2006/relationships/image" Target="../media/image65.wmf"/><Relationship Id="rId10" Type="http://schemas.openxmlformats.org/officeDocument/2006/relationships/image" Target="../media/image14.wmf"/><Relationship Id="rId19" Type="http://schemas.openxmlformats.org/officeDocument/2006/relationships/image" Target="../media/image23.wmf"/><Relationship Id="rId31" Type="http://schemas.openxmlformats.org/officeDocument/2006/relationships/image" Target="../media/image35.wmf"/><Relationship Id="rId44" Type="http://schemas.openxmlformats.org/officeDocument/2006/relationships/image" Target="../media/image48.wmf"/><Relationship Id="rId52" Type="http://schemas.openxmlformats.org/officeDocument/2006/relationships/image" Target="../media/image56.wmf"/><Relationship Id="rId60" Type="http://schemas.openxmlformats.org/officeDocument/2006/relationships/image" Target="../media/image64.wmf"/><Relationship Id="rId65" Type="http://schemas.openxmlformats.org/officeDocument/2006/relationships/image" Target="../media/image69.wmf"/><Relationship Id="rId4" Type="http://schemas.openxmlformats.org/officeDocument/2006/relationships/image" Target="../media/image8.wmf"/><Relationship Id="rId9" Type="http://schemas.openxmlformats.org/officeDocument/2006/relationships/image" Target="../media/image13.wmf"/><Relationship Id="rId14" Type="http://schemas.openxmlformats.org/officeDocument/2006/relationships/image" Target="../media/image18.wmf"/><Relationship Id="rId22" Type="http://schemas.openxmlformats.org/officeDocument/2006/relationships/image" Target="../media/image26.wmf"/><Relationship Id="rId27" Type="http://schemas.openxmlformats.org/officeDocument/2006/relationships/image" Target="../media/image31.wmf"/><Relationship Id="rId30" Type="http://schemas.openxmlformats.org/officeDocument/2006/relationships/image" Target="../media/image34.wmf"/><Relationship Id="rId35" Type="http://schemas.openxmlformats.org/officeDocument/2006/relationships/image" Target="../media/image39.wmf"/><Relationship Id="rId43" Type="http://schemas.openxmlformats.org/officeDocument/2006/relationships/image" Target="../media/image47.wmf"/><Relationship Id="rId48" Type="http://schemas.openxmlformats.org/officeDocument/2006/relationships/image" Target="../media/image52.wmf"/><Relationship Id="rId56" Type="http://schemas.openxmlformats.org/officeDocument/2006/relationships/image" Target="../media/image60.wmf"/><Relationship Id="rId64" Type="http://schemas.openxmlformats.org/officeDocument/2006/relationships/image" Target="../media/image68.wmf"/><Relationship Id="rId69" Type="http://schemas.openxmlformats.org/officeDocument/2006/relationships/image" Target="../media/image73.wmf"/><Relationship Id="rId8" Type="http://schemas.openxmlformats.org/officeDocument/2006/relationships/image" Target="../media/image12.wmf"/><Relationship Id="rId51" Type="http://schemas.openxmlformats.org/officeDocument/2006/relationships/image" Target="../media/image55.wmf"/><Relationship Id="rId3" Type="http://schemas.openxmlformats.org/officeDocument/2006/relationships/image" Target="../media/image7.wmf"/><Relationship Id="rId12" Type="http://schemas.openxmlformats.org/officeDocument/2006/relationships/image" Target="../media/image16.wmf"/><Relationship Id="rId17" Type="http://schemas.openxmlformats.org/officeDocument/2006/relationships/image" Target="../media/image21.wmf"/><Relationship Id="rId25" Type="http://schemas.openxmlformats.org/officeDocument/2006/relationships/image" Target="../media/image29.wmf"/><Relationship Id="rId33" Type="http://schemas.openxmlformats.org/officeDocument/2006/relationships/image" Target="../media/image37.wmf"/><Relationship Id="rId38" Type="http://schemas.openxmlformats.org/officeDocument/2006/relationships/image" Target="../media/image42.wmf"/><Relationship Id="rId46" Type="http://schemas.openxmlformats.org/officeDocument/2006/relationships/image" Target="../media/image50.wmf"/><Relationship Id="rId59" Type="http://schemas.openxmlformats.org/officeDocument/2006/relationships/image" Target="../media/image63.wmf"/><Relationship Id="rId67" Type="http://schemas.openxmlformats.org/officeDocument/2006/relationships/image" Target="../media/image71.wmf"/><Relationship Id="rId20" Type="http://schemas.openxmlformats.org/officeDocument/2006/relationships/image" Target="../media/image24.wmf"/><Relationship Id="rId41" Type="http://schemas.openxmlformats.org/officeDocument/2006/relationships/image" Target="../media/image45.wmf"/><Relationship Id="rId54" Type="http://schemas.openxmlformats.org/officeDocument/2006/relationships/image" Target="../media/image58.wmf"/><Relationship Id="rId62" Type="http://schemas.openxmlformats.org/officeDocument/2006/relationships/image" Target="../media/image66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4</xdr:row>
          <xdr:rowOff>0</xdr:rowOff>
        </xdr:from>
        <xdr:to>
          <xdr:col>6</xdr:col>
          <xdr:colOff>466725</xdr:colOff>
          <xdr:row>5</xdr:row>
          <xdr:rowOff>66675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21</xdr:row>
          <xdr:rowOff>0</xdr:rowOff>
        </xdr:from>
        <xdr:to>
          <xdr:col>3</xdr:col>
          <xdr:colOff>76200</xdr:colOff>
          <xdr:row>23</xdr:row>
          <xdr:rowOff>66675</xdr:rowOff>
        </xdr:to>
        <xdr:sp macro="" textlink="">
          <xdr:nvSpPr>
            <xdr:cNvPr id="3082" name="Object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40</xdr:row>
          <xdr:rowOff>0</xdr:rowOff>
        </xdr:from>
        <xdr:to>
          <xdr:col>8</xdr:col>
          <xdr:colOff>514350</xdr:colOff>
          <xdr:row>41</xdr:row>
          <xdr:rowOff>66675</xdr:rowOff>
        </xdr:to>
        <xdr:sp macro="" textlink="">
          <xdr:nvSpPr>
            <xdr:cNvPr id="3083" name="Object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55</xdr:row>
          <xdr:rowOff>0</xdr:rowOff>
        </xdr:from>
        <xdr:to>
          <xdr:col>1</xdr:col>
          <xdr:colOff>466725</xdr:colOff>
          <xdr:row>56</xdr:row>
          <xdr:rowOff>161925</xdr:rowOff>
        </xdr:to>
        <xdr:sp macro="" textlink="">
          <xdr:nvSpPr>
            <xdr:cNvPr id="3084" name="Object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4</xdr:row>
          <xdr:rowOff>0</xdr:rowOff>
        </xdr:from>
        <xdr:to>
          <xdr:col>3</xdr:col>
          <xdr:colOff>295275</xdr:colOff>
          <xdr:row>5</xdr:row>
          <xdr:rowOff>152400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19</xdr:row>
          <xdr:rowOff>0</xdr:rowOff>
        </xdr:from>
        <xdr:to>
          <xdr:col>8</xdr:col>
          <xdr:colOff>295275</xdr:colOff>
          <xdr:row>21</xdr:row>
          <xdr:rowOff>38100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37</xdr:row>
          <xdr:rowOff>0</xdr:rowOff>
        </xdr:from>
        <xdr:to>
          <xdr:col>3</xdr:col>
          <xdr:colOff>152400</xdr:colOff>
          <xdr:row>38</xdr:row>
          <xdr:rowOff>47625</xdr:rowOff>
        </xdr:to>
        <xdr:sp macro="" textlink="">
          <xdr:nvSpPr>
            <xdr:cNvPr id="5124" name="Object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46</xdr:row>
          <xdr:rowOff>0</xdr:rowOff>
        </xdr:from>
        <xdr:to>
          <xdr:col>2</xdr:col>
          <xdr:colOff>342900</xdr:colOff>
          <xdr:row>47</xdr:row>
          <xdr:rowOff>180975</xdr:rowOff>
        </xdr:to>
        <xdr:sp macro="" textlink="">
          <xdr:nvSpPr>
            <xdr:cNvPr id="5126" name="Object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51</xdr:row>
          <xdr:rowOff>0</xdr:rowOff>
        </xdr:from>
        <xdr:to>
          <xdr:col>2</xdr:col>
          <xdr:colOff>133350</xdr:colOff>
          <xdr:row>52</xdr:row>
          <xdr:rowOff>180975</xdr:rowOff>
        </xdr:to>
        <xdr:sp macro="" textlink="">
          <xdr:nvSpPr>
            <xdr:cNvPr id="5127" name="Object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62</xdr:row>
          <xdr:rowOff>0</xdr:rowOff>
        </xdr:from>
        <xdr:to>
          <xdr:col>3</xdr:col>
          <xdr:colOff>171450</xdr:colOff>
          <xdr:row>64</xdr:row>
          <xdr:rowOff>123825</xdr:rowOff>
        </xdr:to>
        <xdr:sp macro="" textlink="">
          <xdr:nvSpPr>
            <xdr:cNvPr id="5129" name="Object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68</xdr:row>
          <xdr:rowOff>0</xdr:rowOff>
        </xdr:from>
        <xdr:to>
          <xdr:col>2</xdr:col>
          <xdr:colOff>123825</xdr:colOff>
          <xdr:row>69</xdr:row>
          <xdr:rowOff>76200</xdr:rowOff>
        </xdr:to>
        <xdr:sp macro="" textlink="">
          <xdr:nvSpPr>
            <xdr:cNvPr id="5136" name="Object 16" hidden="1">
              <a:extLst>
                <a:ext uri="{63B3BB69-23CF-44E3-9099-C40C66FF867C}">
                  <a14:compatExt spid="_x0000_s5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68</xdr:row>
          <xdr:rowOff>0</xdr:rowOff>
        </xdr:from>
        <xdr:to>
          <xdr:col>5</xdr:col>
          <xdr:colOff>266700</xdr:colOff>
          <xdr:row>69</xdr:row>
          <xdr:rowOff>76200</xdr:rowOff>
        </xdr:to>
        <xdr:sp macro="" textlink="">
          <xdr:nvSpPr>
            <xdr:cNvPr id="5139" name="Object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75</xdr:row>
          <xdr:rowOff>0</xdr:rowOff>
        </xdr:from>
        <xdr:to>
          <xdr:col>1</xdr:col>
          <xdr:colOff>647700</xdr:colOff>
          <xdr:row>75</xdr:row>
          <xdr:rowOff>266700</xdr:rowOff>
        </xdr:to>
        <xdr:sp macro="" textlink="">
          <xdr:nvSpPr>
            <xdr:cNvPr id="5140" name="Object 20" hidden="1">
              <a:extLst>
                <a:ext uri="{63B3BB69-23CF-44E3-9099-C40C66FF867C}">
                  <a14:compatExt spid="_x0000_s5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73</xdr:row>
          <xdr:rowOff>0</xdr:rowOff>
        </xdr:from>
        <xdr:to>
          <xdr:col>1</xdr:col>
          <xdr:colOff>847725</xdr:colOff>
          <xdr:row>74</xdr:row>
          <xdr:rowOff>76200</xdr:rowOff>
        </xdr:to>
        <xdr:sp macro="" textlink="">
          <xdr:nvSpPr>
            <xdr:cNvPr id="5141" name="Object 21" hidden="1">
              <a:extLst>
                <a:ext uri="{63B3BB69-23CF-44E3-9099-C40C66FF867C}">
                  <a14:compatExt spid="_x0000_s51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79</xdr:row>
          <xdr:rowOff>0</xdr:rowOff>
        </xdr:from>
        <xdr:to>
          <xdr:col>1</xdr:col>
          <xdr:colOff>647700</xdr:colOff>
          <xdr:row>79</xdr:row>
          <xdr:rowOff>257175</xdr:rowOff>
        </xdr:to>
        <xdr:sp macro="" textlink="">
          <xdr:nvSpPr>
            <xdr:cNvPr id="5142" name="Object 22" hidden="1">
              <a:extLst>
                <a:ext uri="{63B3BB69-23CF-44E3-9099-C40C66FF867C}">
                  <a14:compatExt spid="_x0000_s51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87</xdr:row>
          <xdr:rowOff>0</xdr:rowOff>
        </xdr:from>
        <xdr:to>
          <xdr:col>1</xdr:col>
          <xdr:colOff>409575</xdr:colOff>
          <xdr:row>88</xdr:row>
          <xdr:rowOff>38100</xdr:rowOff>
        </xdr:to>
        <xdr:sp macro="" textlink="">
          <xdr:nvSpPr>
            <xdr:cNvPr id="5143" name="Object 23" hidden="1">
              <a:extLst>
                <a:ext uri="{63B3BB69-23CF-44E3-9099-C40C66FF867C}">
                  <a14:compatExt spid="_x0000_s5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87</xdr:row>
          <xdr:rowOff>0</xdr:rowOff>
        </xdr:from>
        <xdr:to>
          <xdr:col>3</xdr:col>
          <xdr:colOff>142875</xdr:colOff>
          <xdr:row>88</xdr:row>
          <xdr:rowOff>114300</xdr:rowOff>
        </xdr:to>
        <xdr:sp macro="" textlink="">
          <xdr:nvSpPr>
            <xdr:cNvPr id="5144" name="Object 24" hidden="1">
              <a:extLst>
                <a:ext uri="{63B3BB69-23CF-44E3-9099-C40C66FF867C}">
                  <a14:compatExt spid="_x0000_s5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91</xdr:row>
          <xdr:rowOff>0</xdr:rowOff>
        </xdr:from>
        <xdr:to>
          <xdr:col>1</xdr:col>
          <xdr:colOff>609600</xdr:colOff>
          <xdr:row>91</xdr:row>
          <xdr:rowOff>257175</xdr:rowOff>
        </xdr:to>
        <xdr:sp macro="" textlink="">
          <xdr:nvSpPr>
            <xdr:cNvPr id="5145" name="Object 25" hidden="1">
              <a:extLst>
                <a:ext uri="{63B3BB69-23CF-44E3-9099-C40C66FF867C}">
                  <a14:compatExt spid="_x0000_s5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106</xdr:row>
          <xdr:rowOff>0</xdr:rowOff>
        </xdr:from>
        <xdr:to>
          <xdr:col>1</xdr:col>
          <xdr:colOff>466725</xdr:colOff>
          <xdr:row>107</xdr:row>
          <xdr:rowOff>47625</xdr:rowOff>
        </xdr:to>
        <xdr:sp macro="" textlink="">
          <xdr:nvSpPr>
            <xdr:cNvPr id="5150" name="Object 30" hidden="1">
              <a:extLst>
                <a:ext uri="{63B3BB69-23CF-44E3-9099-C40C66FF867C}">
                  <a14:compatExt spid="_x0000_s5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125</xdr:row>
          <xdr:rowOff>0</xdr:rowOff>
        </xdr:from>
        <xdr:to>
          <xdr:col>1</xdr:col>
          <xdr:colOff>381000</xdr:colOff>
          <xdr:row>126</xdr:row>
          <xdr:rowOff>47625</xdr:rowOff>
        </xdr:to>
        <xdr:sp macro="" textlink="">
          <xdr:nvSpPr>
            <xdr:cNvPr id="5151" name="Object 31" hidden="1">
              <a:extLst>
                <a:ext uri="{63B3BB69-23CF-44E3-9099-C40C66FF867C}">
                  <a14:compatExt spid="_x0000_s5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125</xdr:row>
          <xdr:rowOff>0</xdr:rowOff>
        </xdr:from>
        <xdr:to>
          <xdr:col>2</xdr:col>
          <xdr:colOff>485775</xdr:colOff>
          <xdr:row>127</xdr:row>
          <xdr:rowOff>104775</xdr:rowOff>
        </xdr:to>
        <xdr:sp macro="" textlink="">
          <xdr:nvSpPr>
            <xdr:cNvPr id="5152" name="Object 32" hidden="1">
              <a:extLst>
                <a:ext uri="{63B3BB69-23CF-44E3-9099-C40C66FF867C}">
                  <a14:compatExt spid="_x0000_s5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128</xdr:row>
          <xdr:rowOff>0</xdr:rowOff>
        </xdr:from>
        <xdr:to>
          <xdr:col>1</xdr:col>
          <xdr:colOff>428625</xdr:colOff>
          <xdr:row>128</xdr:row>
          <xdr:rowOff>276225</xdr:rowOff>
        </xdr:to>
        <xdr:sp macro="" textlink="">
          <xdr:nvSpPr>
            <xdr:cNvPr id="5153" name="Object 33" hidden="1">
              <a:extLst>
                <a:ext uri="{63B3BB69-23CF-44E3-9099-C40C66FF867C}">
                  <a14:compatExt spid="_x0000_s5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139</xdr:row>
          <xdr:rowOff>0</xdr:rowOff>
        </xdr:from>
        <xdr:to>
          <xdr:col>1</xdr:col>
          <xdr:colOff>485775</xdr:colOff>
          <xdr:row>139</xdr:row>
          <xdr:rowOff>228600</xdr:rowOff>
        </xdr:to>
        <xdr:sp macro="" textlink="">
          <xdr:nvSpPr>
            <xdr:cNvPr id="5167" name="Object 47" hidden="1">
              <a:extLst>
                <a:ext uri="{63B3BB69-23CF-44E3-9099-C40C66FF867C}">
                  <a14:compatExt spid="_x0000_s51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141</xdr:row>
          <xdr:rowOff>0</xdr:rowOff>
        </xdr:from>
        <xdr:to>
          <xdr:col>1</xdr:col>
          <xdr:colOff>485775</xdr:colOff>
          <xdr:row>141</xdr:row>
          <xdr:rowOff>238125</xdr:rowOff>
        </xdr:to>
        <xdr:sp macro="" textlink="">
          <xdr:nvSpPr>
            <xdr:cNvPr id="5168" name="Object 48" hidden="1">
              <a:extLst>
                <a:ext uri="{63B3BB69-23CF-44E3-9099-C40C66FF867C}">
                  <a14:compatExt spid="_x0000_s51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143</xdr:row>
          <xdr:rowOff>0</xdr:rowOff>
        </xdr:from>
        <xdr:to>
          <xdr:col>1</xdr:col>
          <xdr:colOff>381000</xdr:colOff>
          <xdr:row>143</xdr:row>
          <xdr:rowOff>228600</xdr:rowOff>
        </xdr:to>
        <xdr:sp macro="" textlink="">
          <xdr:nvSpPr>
            <xdr:cNvPr id="5169" name="Object 49" hidden="1">
              <a:extLst>
                <a:ext uri="{63B3BB69-23CF-44E3-9099-C40C66FF867C}">
                  <a14:compatExt spid="_x0000_s5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145</xdr:row>
          <xdr:rowOff>0</xdr:rowOff>
        </xdr:from>
        <xdr:to>
          <xdr:col>1</xdr:col>
          <xdr:colOff>419100</xdr:colOff>
          <xdr:row>145</xdr:row>
          <xdr:rowOff>238125</xdr:rowOff>
        </xdr:to>
        <xdr:sp macro="" textlink="">
          <xdr:nvSpPr>
            <xdr:cNvPr id="5170" name="Object 50" hidden="1">
              <a:extLst>
                <a:ext uri="{63B3BB69-23CF-44E3-9099-C40C66FF867C}">
                  <a14:compatExt spid="_x0000_s5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147</xdr:row>
          <xdr:rowOff>0</xdr:rowOff>
        </xdr:from>
        <xdr:to>
          <xdr:col>1</xdr:col>
          <xdr:colOff>619125</xdr:colOff>
          <xdr:row>147</xdr:row>
          <xdr:rowOff>200025</xdr:rowOff>
        </xdr:to>
        <xdr:sp macro="" textlink="">
          <xdr:nvSpPr>
            <xdr:cNvPr id="5171" name="Object 51" hidden="1">
              <a:extLst>
                <a:ext uri="{63B3BB69-23CF-44E3-9099-C40C66FF867C}">
                  <a14:compatExt spid="_x0000_s5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149</xdr:row>
          <xdr:rowOff>0</xdr:rowOff>
        </xdr:from>
        <xdr:to>
          <xdr:col>1</xdr:col>
          <xdr:colOff>609600</xdr:colOff>
          <xdr:row>150</xdr:row>
          <xdr:rowOff>9525</xdr:rowOff>
        </xdr:to>
        <xdr:sp macro="" textlink="">
          <xdr:nvSpPr>
            <xdr:cNvPr id="5172" name="Object 52" hidden="1">
              <a:extLst>
                <a:ext uri="{63B3BB69-23CF-44E3-9099-C40C66FF867C}">
                  <a14:compatExt spid="_x0000_s5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151</xdr:row>
          <xdr:rowOff>0</xdr:rowOff>
        </xdr:from>
        <xdr:to>
          <xdr:col>1</xdr:col>
          <xdr:colOff>523875</xdr:colOff>
          <xdr:row>152</xdr:row>
          <xdr:rowOff>9525</xdr:rowOff>
        </xdr:to>
        <xdr:sp macro="" textlink="">
          <xdr:nvSpPr>
            <xdr:cNvPr id="5173" name="Object 53" hidden="1">
              <a:extLst>
                <a:ext uri="{63B3BB69-23CF-44E3-9099-C40C66FF867C}">
                  <a14:compatExt spid="_x0000_s5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153</xdr:row>
          <xdr:rowOff>0</xdr:rowOff>
        </xdr:from>
        <xdr:to>
          <xdr:col>1</xdr:col>
          <xdr:colOff>561975</xdr:colOff>
          <xdr:row>154</xdr:row>
          <xdr:rowOff>38100</xdr:rowOff>
        </xdr:to>
        <xdr:sp macro="" textlink="">
          <xdr:nvSpPr>
            <xdr:cNvPr id="5174" name="Object 54" hidden="1">
              <a:extLst>
                <a:ext uri="{63B3BB69-23CF-44E3-9099-C40C66FF867C}">
                  <a14:compatExt spid="_x0000_s5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161</xdr:row>
          <xdr:rowOff>0</xdr:rowOff>
        </xdr:from>
        <xdr:to>
          <xdr:col>2</xdr:col>
          <xdr:colOff>438150</xdr:colOff>
          <xdr:row>162</xdr:row>
          <xdr:rowOff>66675</xdr:rowOff>
        </xdr:to>
        <xdr:sp macro="" textlink="">
          <xdr:nvSpPr>
            <xdr:cNvPr id="5177" name="Object 57" hidden="1">
              <a:extLst>
                <a:ext uri="{63B3BB69-23CF-44E3-9099-C40C66FF867C}">
                  <a14:compatExt spid="_x0000_s5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164</xdr:row>
          <xdr:rowOff>0</xdr:rowOff>
        </xdr:from>
        <xdr:to>
          <xdr:col>1</xdr:col>
          <xdr:colOff>619125</xdr:colOff>
          <xdr:row>164</xdr:row>
          <xdr:rowOff>200025</xdr:rowOff>
        </xdr:to>
        <xdr:sp macro="" textlink="">
          <xdr:nvSpPr>
            <xdr:cNvPr id="5178" name="Object 58" hidden="1">
              <a:extLst>
                <a:ext uri="{63B3BB69-23CF-44E3-9099-C40C66FF867C}">
                  <a14:compatExt spid="_x0000_s5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166</xdr:row>
          <xdr:rowOff>0</xdr:rowOff>
        </xdr:from>
        <xdr:to>
          <xdr:col>1</xdr:col>
          <xdr:colOff>733425</xdr:colOff>
          <xdr:row>167</xdr:row>
          <xdr:rowOff>66675</xdr:rowOff>
        </xdr:to>
        <xdr:sp macro="" textlink="">
          <xdr:nvSpPr>
            <xdr:cNvPr id="5179" name="Object 59" hidden="1">
              <a:extLst>
                <a:ext uri="{63B3BB69-23CF-44E3-9099-C40C66FF867C}">
                  <a14:compatExt spid="_x0000_s5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174</xdr:row>
          <xdr:rowOff>0</xdr:rowOff>
        </xdr:from>
        <xdr:to>
          <xdr:col>2</xdr:col>
          <xdr:colOff>438150</xdr:colOff>
          <xdr:row>175</xdr:row>
          <xdr:rowOff>76200</xdr:rowOff>
        </xdr:to>
        <xdr:sp macro="" textlink="">
          <xdr:nvSpPr>
            <xdr:cNvPr id="5180" name="Object 60" hidden="1">
              <a:extLst>
                <a:ext uri="{63B3BB69-23CF-44E3-9099-C40C66FF867C}">
                  <a14:compatExt spid="_x0000_s5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177</xdr:row>
          <xdr:rowOff>0</xdr:rowOff>
        </xdr:from>
        <xdr:to>
          <xdr:col>1</xdr:col>
          <xdr:colOff>619125</xdr:colOff>
          <xdr:row>178</xdr:row>
          <xdr:rowOff>0</xdr:rowOff>
        </xdr:to>
        <xdr:sp macro="" textlink="">
          <xdr:nvSpPr>
            <xdr:cNvPr id="5181" name="Object 61" hidden="1">
              <a:extLst>
                <a:ext uri="{63B3BB69-23CF-44E3-9099-C40C66FF867C}">
                  <a14:compatExt spid="_x0000_s5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179</xdr:row>
          <xdr:rowOff>0</xdr:rowOff>
        </xdr:from>
        <xdr:to>
          <xdr:col>1</xdr:col>
          <xdr:colOff>733425</xdr:colOff>
          <xdr:row>180</xdr:row>
          <xdr:rowOff>76200</xdr:rowOff>
        </xdr:to>
        <xdr:sp macro="" textlink="">
          <xdr:nvSpPr>
            <xdr:cNvPr id="5182" name="Object 62" hidden="1">
              <a:extLst>
                <a:ext uri="{63B3BB69-23CF-44E3-9099-C40C66FF867C}">
                  <a14:compatExt spid="_x0000_s5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190</xdr:row>
          <xdr:rowOff>0</xdr:rowOff>
        </xdr:from>
        <xdr:to>
          <xdr:col>1</xdr:col>
          <xdr:colOff>523875</xdr:colOff>
          <xdr:row>191</xdr:row>
          <xdr:rowOff>9525</xdr:rowOff>
        </xdr:to>
        <xdr:sp macro="" textlink="">
          <xdr:nvSpPr>
            <xdr:cNvPr id="5183" name="Object 63" hidden="1">
              <a:extLst>
                <a:ext uri="{63B3BB69-23CF-44E3-9099-C40C66FF867C}">
                  <a14:compatExt spid="_x0000_s5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192</xdr:row>
          <xdr:rowOff>0</xdr:rowOff>
        </xdr:from>
        <xdr:to>
          <xdr:col>1</xdr:col>
          <xdr:colOff>647700</xdr:colOff>
          <xdr:row>193</xdr:row>
          <xdr:rowOff>66675</xdr:rowOff>
        </xdr:to>
        <xdr:sp macro="" textlink="">
          <xdr:nvSpPr>
            <xdr:cNvPr id="5184" name="Object 64" hidden="1">
              <a:extLst>
                <a:ext uri="{63B3BB69-23CF-44E3-9099-C40C66FF867C}">
                  <a14:compatExt spid="_x0000_s5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187</xdr:row>
          <xdr:rowOff>0</xdr:rowOff>
        </xdr:from>
        <xdr:to>
          <xdr:col>2</xdr:col>
          <xdr:colOff>247650</xdr:colOff>
          <xdr:row>188</xdr:row>
          <xdr:rowOff>47625</xdr:rowOff>
        </xdr:to>
        <xdr:sp macro="" textlink="">
          <xdr:nvSpPr>
            <xdr:cNvPr id="5185" name="Object 65" hidden="1">
              <a:extLst>
                <a:ext uri="{63B3BB69-23CF-44E3-9099-C40C66FF867C}">
                  <a14:compatExt spid="_x0000_s5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200</xdr:row>
          <xdr:rowOff>0</xdr:rowOff>
        </xdr:from>
        <xdr:to>
          <xdr:col>2</xdr:col>
          <xdr:colOff>333375</xdr:colOff>
          <xdr:row>201</xdr:row>
          <xdr:rowOff>76200</xdr:rowOff>
        </xdr:to>
        <xdr:sp macro="" textlink="">
          <xdr:nvSpPr>
            <xdr:cNvPr id="5186" name="Object 66" hidden="1">
              <a:extLst>
                <a:ext uri="{63B3BB69-23CF-44E3-9099-C40C66FF867C}">
                  <a14:compatExt spid="_x0000_s5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202</xdr:row>
          <xdr:rowOff>0</xdr:rowOff>
        </xdr:from>
        <xdr:to>
          <xdr:col>1</xdr:col>
          <xdr:colOff>561975</xdr:colOff>
          <xdr:row>203</xdr:row>
          <xdr:rowOff>38100</xdr:rowOff>
        </xdr:to>
        <xdr:sp macro="" textlink="">
          <xdr:nvSpPr>
            <xdr:cNvPr id="5187" name="Object 67" hidden="1">
              <a:extLst>
                <a:ext uri="{63B3BB69-23CF-44E3-9099-C40C66FF867C}">
                  <a14:compatExt spid="_x0000_s5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204</xdr:row>
          <xdr:rowOff>0</xdr:rowOff>
        </xdr:from>
        <xdr:to>
          <xdr:col>1</xdr:col>
          <xdr:colOff>676275</xdr:colOff>
          <xdr:row>205</xdr:row>
          <xdr:rowOff>76200</xdr:rowOff>
        </xdr:to>
        <xdr:sp macro="" textlink="">
          <xdr:nvSpPr>
            <xdr:cNvPr id="5188" name="Object 68" hidden="1">
              <a:extLst>
                <a:ext uri="{63B3BB69-23CF-44E3-9099-C40C66FF867C}">
                  <a14:compatExt spid="_x0000_s5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212</xdr:row>
          <xdr:rowOff>0</xdr:rowOff>
        </xdr:from>
        <xdr:to>
          <xdr:col>1</xdr:col>
          <xdr:colOff>542925</xdr:colOff>
          <xdr:row>213</xdr:row>
          <xdr:rowOff>47625</xdr:rowOff>
        </xdr:to>
        <xdr:sp macro="" textlink="">
          <xdr:nvSpPr>
            <xdr:cNvPr id="5190" name="Object 70" hidden="1">
              <a:extLst>
                <a:ext uri="{63B3BB69-23CF-44E3-9099-C40C66FF867C}">
                  <a14:compatExt spid="_x0000_s51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212</xdr:row>
          <xdr:rowOff>0</xdr:rowOff>
        </xdr:from>
        <xdr:to>
          <xdr:col>3</xdr:col>
          <xdr:colOff>85725</xdr:colOff>
          <xdr:row>213</xdr:row>
          <xdr:rowOff>47625</xdr:rowOff>
        </xdr:to>
        <xdr:sp macro="" textlink="">
          <xdr:nvSpPr>
            <xdr:cNvPr id="5191" name="Object 71" hidden="1">
              <a:extLst>
                <a:ext uri="{63B3BB69-23CF-44E3-9099-C40C66FF867C}">
                  <a14:compatExt spid="_x0000_s51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212</xdr:row>
          <xdr:rowOff>0</xdr:rowOff>
        </xdr:from>
        <xdr:to>
          <xdr:col>4</xdr:col>
          <xdr:colOff>0</xdr:colOff>
          <xdr:row>213</xdr:row>
          <xdr:rowOff>76200</xdr:rowOff>
        </xdr:to>
        <xdr:sp macro="" textlink="">
          <xdr:nvSpPr>
            <xdr:cNvPr id="5192" name="Object 72" hidden="1">
              <a:extLst>
                <a:ext uri="{63B3BB69-23CF-44E3-9099-C40C66FF867C}">
                  <a14:compatExt spid="_x0000_s5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214</xdr:row>
          <xdr:rowOff>0</xdr:rowOff>
        </xdr:from>
        <xdr:to>
          <xdr:col>1</xdr:col>
          <xdr:colOff>542925</xdr:colOff>
          <xdr:row>214</xdr:row>
          <xdr:rowOff>238125</xdr:rowOff>
        </xdr:to>
        <xdr:sp macro="" textlink="">
          <xdr:nvSpPr>
            <xdr:cNvPr id="5196" name="Object 76" hidden="1">
              <a:extLst>
                <a:ext uri="{63B3BB69-23CF-44E3-9099-C40C66FF867C}">
                  <a14:compatExt spid="_x0000_s5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216</xdr:row>
          <xdr:rowOff>0</xdr:rowOff>
        </xdr:from>
        <xdr:to>
          <xdr:col>1</xdr:col>
          <xdr:colOff>180975</xdr:colOff>
          <xdr:row>216</xdr:row>
          <xdr:rowOff>228600</xdr:rowOff>
        </xdr:to>
        <xdr:sp macro="" textlink="">
          <xdr:nvSpPr>
            <xdr:cNvPr id="5197" name="Object 77" hidden="1">
              <a:extLst>
                <a:ext uri="{63B3BB69-23CF-44E3-9099-C40C66FF867C}">
                  <a14:compatExt spid="_x0000_s51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218</xdr:row>
          <xdr:rowOff>0</xdr:rowOff>
        </xdr:from>
        <xdr:to>
          <xdr:col>1</xdr:col>
          <xdr:colOff>609600</xdr:colOff>
          <xdr:row>218</xdr:row>
          <xdr:rowOff>266700</xdr:rowOff>
        </xdr:to>
        <xdr:sp macro="" textlink="">
          <xdr:nvSpPr>
            <xdr:cNvPr id="5198" name="Object 78" hidden="1">
              <a:extLst>
                <a:ext uri="{63B3BB69-23CF-44E3-9099-C40C66FF867C}">
                  <a14:compatExt spid="_x0000_s51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224</xdr:row>
          <xdr:rowOff>0</xdr:rowOff>
        </xdr:from>
        <xdr:to>
          <xdr:col>1</xdr:col>
          <xdr:colOff>495300</xdr:colOff>
          <xdr:row>225</xdr:row>
          <xdr:rowOff>38100</xdr:rowOff>
        </xdr:to>
        <xdr:sp macro="" textlink="">
          <xdr:nvSpPr>
            <xdr:cNvPr id="5200" name="Object 80" hidden="1">
              <a:extLst>
                <a:ext uri="{63B3BB69-23CF-44E3-9099-C40C66FF867C}">
                  <a14:compatExt spid="_x0000_s52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224</xdr:row>
          <xdr:rowOff>0</xdr:rowOff>
        </xdr:from>
        <xdr:to>
          <xdr:col>3</xdr:col>
          <xdr:colOff>342900</xdr:colOff>
          <xdr:row>225</xdr:row>
          <xdr:rowOff>47625</xdr:rowOff>
        </xdr:to>
        <xdr:sp macro="" textlink="">
          <xdr:nvSpPr>
            <xdr:cNvPr id="5201" name="Object 81" hidden="1">
              <a:extLst>
                <a:ext uri="{63B3BB69-23CF-44E3-9099-C40C66FF867C}">
                  <a14:compatExt spid="_x0000_s5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227</xdr:row>
          <xdr:rowOff>0</xdr:rowOff>
        </xdr:from>
        <xdr:to>
          <xdr:col>1</xdr:col>
          <xdr:colOff>647700</xdr:colOff>
          <xdr:row>228</xdr:row>
          <xdr:rowOff>28575</xdr:rowOff>
        </xdr:to>
        <xdr:sp macro="" textlink="">
          <xdr:nvSpPr>
            <xdr:cNvPr id="5202" name="Object 82" hidden="1">
              <a:extLst>
                <a:ext uri="{63B3BB69-23CF-44E3-9099-C40C66FF867C}">
                  <a14:compatExt spid="_x0000_s5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229</xdr:row>
          <xdr:rowOff>0</xdr:rowOff>
        </xdr:from>
        <xdr:to>
          <xdr:col>1</xdr:col>
          <xdr:colOff>276225</xdr:colOff>
          <xdr:row>230</xdr:row>
          <xdr:rowOff>19050</xdr:rowOff>
        </xdr:to>
        <xdr:sp macro="" textlink="">
          <xdr:nvSpPr>
            <xdr:cNvPr id="5203" name="Object 83" hidden="1">
              <a:extLst>
                <a:ext uri="{63B3BB69-23CF-44E3-9099-C40C66FF867C}">
                  <a14:compatExt spid="_x0000_s52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235</xdr:row>
          <xdr:rowOff>0</xdr:rowOff>
        </xdr:from>
        <xdr:to>
          <xdr:col>1</xdr:col>
          <xdr:colOff>590550</xdr:colOff>
          <xdr:row>236</xdr:row>
          <xdr:rowOff>47625</xdr:rowOff>
        </xdr:to>
        <xdr:sp macro="" textlink="">
          <xdr:nvSpPr>
            <xdr:cNvPr id="5204" name="Object 84" hidden="1">
              <a:extLst>
                <a:ext uri="{63B3BB69-23CF-44E3-9099-C40C66FF867C}">
                  <a14:compatExt spid="_x0000_s52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235</xdr:row>
          <xdr:rowOff>0</xdr:rowOff>
        </xdr:from>
        <xdr:to>
          <xdr:col>3</xdr:col>
          <xdr:colOff>523875</xdr:colOff>
          <xdr:row>236</xdr:row>
          <xdr:rowOff>66675</xdr:rowOff>
        </xdr:to>
        <xdr:sp macro="" textlink="">
          <xdr:nvSpPr>
            <xdr:cNvPr id="5205" name="Object 85" hidden="1">
              <a:extLst>
                <a:ext uri="{63B3BB69-23CF-44E3-9099-C40C66FF867C}">
                  <a14:compatExt spid="_x0000_s52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238</xdr:row>
          <xdr:rowOff>0</xdr:rowOff>
        </xdr:from>
        <xdr:to>
          <xdr:col>1</xdr:col>
          <xdr:colOff>695325</xdr:colOff>
          <xdr:row>239</xdr:row>
          <xdr:rowOff>28575</xdr:rowOff>
        </xdr:to>
        <xdr:sp macro="" textlink="">
          <xdr:nvSpPr>
            <xdr:cNvPr id="5206" name="Object 86" hidden="1">
              <a:extLst>
                <a:ext uri="{63B3BB69-23CF-44E3-9099-C40C66FF867C}">
                  <a14:compatExt spid="_x0000_s52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240</xdr:row>
          <xdr:rowOff>0</xdr:rowOff>
        </xdr:from>
        <xdr:to>
          <xdr:col>1</xdr:col>
          <xdr:colOff>371475</xdr:colOff>
          <xdr:row>241</xdr:row>
          <xdr:rowOff>28575</xdr:rowOff>
        </xdr:to>
        <xdr:sp macro="" textlink="">
          <xdr:nvSpPr>
            <xdr:cNvPr id="5207" name="Object 87" hidden="1">
              <a:extLst>
                <a:ext uri="{63B3BB69-23CF-44E3-9099-C40C66FF867C}">
                  <a14:compatExt spid="_x0000_s52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247</xdr:row>
          <xdr:rowOff>0</xdr:rowOff>
        </xdr:from>
        <xdr:to>
          <xdr:col>1</xdr:col>
          <xdr:colOff>428625</xdr:colOff>
          <xdr:row>248</xdr:row>
          <xdr:rowOff>38100</xdr:rowOff>
        </xdr:to>
        <xdr:sp macro="" textlink="">
          <xdr:nvSpPr>
            <xdr:cNvPr id="5208" name="Object 88" hidden="1">
              <a:extLst>
                <a:ext uri="{63B3BB69-23CF-44E3-9099-C40C66FF867C}">
                  <a14:compatExt spid="_x0000_s52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247</xdr:row>
          <xdr:rowOff>0</xdr:rowOff>
        </xdr:from>
        <xdr:to>
          <xdr:col>2</xdr:col>
          <xdr:colOff>381000</xdr:colOff>
          <xdr:row>249</xdr:row>
          <xdr:rowOff>76200</xdr:rowOff>
        </xdr:to>
        <xdr:sp macro="" textlink="">
          <xdr:nvSpPr>
            <xdr:cNvPr id="5209" name="Object 89" hidden="1">
              <a:extLst>
                <a:ext uri="{63B3BB69-23CF-44E3-9099-C40C66FF867C}">
                  <a14:compatExt spid="_x0000_s52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250</xdr:row>
          <xdr:rowOff>0</xdr:rowOff>
        </xdr:from>
        <xdr:to>
          <xdr:col>1</xdr:col>
          <xdr:colOff>485775</xdr:colOff>
          <xdr:row>250</xdr:row>
          <xdr:rowOff>276225</xdr:rowOff>
        </xdr:to>
        <xdr:sp macro="" textlink="">
          <xdr:nvSpPr>
            <xdr:cNvPr id="5213" name="Object 93" hidden="1">
              <a:extLst>
                <a:ext uri="{63B3BB69-23CF-44E3-9099-C40C66FF867C}">
                  <a14:compatExt spid="_x0000_s52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252</xdr:row>
          <xdr:rowOff>0</xdr:rowOff>
        </xdr:from>
        <xdr:to>
          <xdr:col>1</xdr:col>
          <xdr:colOff>257175</xdr:colOff>
          <xdr:row>252</xdr:row>
          <xdr:rowOff>228600</xdr:rowOff>
        </xdr:to>
        <xdr:sp macro="" textlink="">
          <xdr:nvSpPr>
            <xdr:cNvPr id="5214" name="Object 94" hidden="1">
              <a:extLst>
                <a:ext uri="{63B3BB69-23CF-44E3-9099-C40C66FF867C}">
                  <a14:compatExt spid="_x0000_s52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256</xdr:row>
          <xdr:rowOff>0</xdr:rowOff>
        </xdr:from>
        <xdr:to>
          <xdr:col>4</xdr:col>
          <xdr:colOff>457200</xdr:colOff>
          <xdr:row>257</xdr:row>
          <xdr:rowOff>66675</xdr:rowOff>
        </xdr:to>
        <xdr:sp macro="" textlink="">
          <xdr:nvSpPr>
            <xdr:cNvPr id="5220" name="Object 100" hidden="1">
              <a:extLst>
                <a:ext uri="{63B3BB69-23CF-44E3-9099-C40C66FF867C}">
                  <a14:compatExt spid="_x0000_s5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259</xdr:row>
          <xdr:rowOff>0</xdr:rowOff>
        </xdr:from>
        <xdr:to>
          <xdr:col>1</xdr:col>
          <xdr:colOff>314325</xdr:colOff>
          <xdr:row>259</xdr:row>
          <xdr:rowOff>238125</xdr:rowOff>
        </xdr:to>
        <xdr:sp macro="" textlink="">
          <xdr:nvSpPr>
            <xdr:cNvPr id="5222" name="Object 102" hidden="1">
              <a:extLst>
                <a:ext uri="{63B3BB69-23CF-44E3-9099-C40C66FF867C}">
                  <a14:compatExt spid="_x0000_s5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261</xdr:row>
          <xdr:rowOff>0</xdr:rowOff>
        </xdr:from>
        <xdr:to>
          <xdr:col>1</xdr:col>
          <xdr:colOff>219075</xdr:colOff>
          <xdr:row>261</xdr:row>
          <xdr:rowOff>228600</xdr:rowOff>
        </xdr:to>
        <xdr:sp macro="" textlink="">
          <xdr:nvSpPr>
            <xdr:cNvPr id="5223" name="Object 103" hidden="1">
              <a:extLst>
                <a:ext uri="{63B3BB69-23CF-44E3-9099-C40C66FF867C}">
                  <a14:compatExt spid="_x0000_s5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263</xdr:row>
          <xdr:rowOff>0</xdr:rowOff>
        </xdr:from>
        <xdr:to>
          <xdr:col>1</xdr:col>
          <xdr:colOff>590550</xdr:colOff>
          <xdr:row>263</xdr:row>
          <xdr:rowOff>238125</xdr:rowOff>
        </xdr:to>
        <xdr:sp macro="" textlink="">
          <xdr:nvSpPr>
            <xdr:cNvPr id="5224" name="Object 104" hidden="1">
              <a:extLst>
                <a:ext uri="{63B3BB69-23CF-44E3-9099-C40C66FF867C}">
                  <a14:compatExt spid="_x0000_s5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267</xdr:row>
          <xdr:rowOff>0</xdr:rowOff>
        </xdr:from>
        <xdr:to>
          <xdr:col>4</xdr:col>
          <xdr:colOff>342900</xdr:colOff>
          <xdr:row>271</xdr:row>
          <xdr:rowOff>0</xdr:rowOff>
        </xdr:to>
        <xdr:sp macro="" textlink="">
          <xdr:nvSpPr>
            <xdr:cNvPr id="5226" name="Object 106" hidden="1">
              <a:extLst>
                <a:ext uri="{63B3BB69-23CF-44E3-9099-C40C66FF867C}">
                  <a14:compatExt spid="_x0000_s5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288</xdr:row>
          <xdr:rowOff>0</xdr:rowOff>
        </xdr:from>
        <xdr:to>
          <xdr:col>3</xdr:col>
          <xdr:colOff>371475</xdr:colOff>
          <xdr:row>290</xdr:row>
          <xdr:rowOff>104775</xdr:rowOff>
        </xdr:to>
        <xdr:sp macro="" textlink="">
          <xdr:nvSpPr>
            <xdr:cNvPr id="5232" name="Object 112" hidden="1">
              <a:extLst>
                <a:ext uri="{63B3BB69-23CF-44E3-9099-C40C66FF867C}">
                  <a14:compatExt spid="_x0000_s52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292</xdr:row>
          <xdr:rowOff>0</xdr:rowOff>
        </xdr:from>
        <xdr:to>
          <xdr:col>1</xdr:col>
          <xdr:colOff>542925</xdr:colOff>
          <xdr:row>292</xdr:row>
          <xdr:rowOff>238125</xdr:rowOff>
        </xdr:to>
        <xdr:sp macro="" textlink="">
          <xdr:nvSpPr>
            <xdr:cNvPr id="5233" name="Object 113" hidden="1">
              <a:extLst>
                <a:ext uri="{63B3BB69-23CF-44E3-9099-C40C66FF867C}">
                  <a14:compatExt spid="_x0000_s52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294</xdr:row>
          <xdr:rowOff>0</xdr:rowOff>
        </xdr:from>
        <xdr:to>
          <xdr:col>1</xdr:col>
          <xdr:colOff>600075</xdr:colOff>
          <xdr:row>294</xdr:row>
          <xdr:rowOff>266700</xdr:rowOff>
        </xdr:to>
        <xdr:sp macro="" textlink="">
          <xdr:nvSpPr>
            <xdr:cNvPr id="5234" name="Object 114" hidden="1">
              <a:extLst>
                <a:ext uri="{63B3BB69-23CF-44E3-9099-C40C66FF867C}">
                  <a14:compatExt spid="_x0000_s52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296</xdr:row>
          <xdr:rowOff>0</xdr:rowOff>
        </xdr:from>
        <xdr:to>
          <xdr:col>1</xdr:col>
          <xdr:colOff>314325</xdr:colOff>
          <xdr:row>297</xdr:row>
          <xdr:rowOff>114300</xdr:rowOff>
        </xdr:to>
        <xdr:sp macro="" textlink="">
          <xdr:nvSpPr>
            <xdr:cNvPr id="5235" name="Object 115" hidden="1">
              <a:extLst>
                <a:ext uri="{63B3BB69-23CF-44E3-9099-C40C66FF867C}">
                  <a14:compatExt spid="_x0000_s52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315</xdr:row>
          <xdr:rowOff>0</xdr:rowOff>
        </xdr:from>
        <xdr:to>
          <xdr:col>2</xdr:col>
          <xdr:colOff>409575</xdr:colOff>
          <xdr:row>315</xdr:row>
          <xdr:rowOff>0</xdr:rowOff>
        </xdr:to>
        <xdr:sp macro="" textlink="">
          <xdr:nvSpPr>
            <xdr:cNvPr id="5241" name="Object 121" hidden="1">
              <a:extLst>
                <a:ext uri="{63B3BB69-23CF-44E3-9099-C40C66FF867C}">
                  <a14:compatExt spid="_x0000_s5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315</xdr:row>
          <xdr:rowOff>0</xdr:rowOff>
        </xdr:from>
        <xdr:to>
          <xdr:col>2</xdr:col>
          <xdr:colOff>504825</xdr:colOff>
          <xdr:row>315</xdr:row>
          <xdr:rowOff>0</xdr:rowOff>
        </xdr:to>
        <xdr:sp macro="" textlink="">
          <xdr:nvSpPr>
            <xdr:cNvPr id="5242" name="Object 122" hidden="1">
              <a:extLst>
                <a:ext uri="{63B3BB69-23CF-44E3-9099-C40C66FF867C}">
                  <a14:compatExt spid="_x0000_s52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315</xdr:row>
          <xdr:rowOff>0</xdr:rowOff>
        </xdr:from>
        <xdr:to>
          <xdr:col>1</xdr:col>
          <xdr:colOff>561975</xdr:colOff>
          <xdr:row>315</xdr:row>
          <xdr:rowOff>0</xdr:rowOff>
        </xdr:to>
        <xdr:sp macro="" textlink="">
          <xdr:nvSpPr>
            <xdr:cNvPr id="5248" name="Object 128" hidden="1">
              <a:extLst>
                <a:ext uri="{63B3BB69-23CF-44E3-9099-C40C66FF867C}">
                  <a14:compatExt spid="_x0000_s52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315</xdr:row>
          <xdr:rowOff>0</xdr:rowOff>
        </xdr:from>
        <xdr:to>
          <xdr:col>1</xdr:col>
          <xdr:colOff>676275</xdr:colOff>
          <xdr:row>315</xdr:row>
          <xdr:rowOff>0</xdr:rowOff>
        </xdr:to>
        <xdr:sp macro="" textlink="">
          <xdr:nvSpPr>
            <xdr:cNvPr id="5249" name="Object 129" hidden="1">
              <a:extLst>
                <a:ext uri="{63B3BB69-23CF-44E3-9099-C40C66FF867C}">
                  <a14:compatExt spid="_x0000_s52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320</xdr:row>
          <xdr:rowOff>0</xdr:rowOff>
        </xdr:from>
        <xdr:to>
          <xdr:col>1</xdr:col>
          <xdr:colOff>447675</xdr:colOff>
          <xdr:row>321</xdr:row>
          <xdr:rowOff>47625</xdr:rowOff>
        </xdr:to>
        <xdr:sp macro="" textlink="">
          <xdr:nvSpPr>
            <xdr:cNvPr id="5250" name="Object 130" hidden="1">
              <a:extLst>
                <a:ext uri="{63B3BB69-23CF-44E3-9099-C40C66FF867C}">
                  <a14:compatExt spid="_x0000_s52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322</xdr:row>
          <xdr:rowOff>0</xdr:rowOff>
        </xdr:from>
        <xdr:to>
          <xdr:col>1</xdr:col>
          <xdr:colOff>276225</xdr:colOff>
          <xdr:row>322</xdr:row>
          <xdr:rowOff>238125</xdr:rowOff>
        </xdr:to>
        <xdr:sp macro="" textlink="">
          <xdr:nvSpPr>
            <xdr:cNvPr id="5251" name="Object 131" hidden="1">
              <a:extLst>
                <a:ext uri="{63B3BB69-23CF-44E3-9099-C40C66FF867C}">
                  <a14:compatExt spid="_x0000_s52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315</xdr:row>
          <xdr:rowOff>0</xdr:rowOff>
        </xdr:from>
        <xdr:to>
          <xdr:col>1</xdr:col>
          <xdr:colOff>523875</xdr:colOff>
          <xdr:row>315</xdr:row>
          <xdr:rowOff>0</xdr:rowOff>
        </xdr:to>
        <xdr:sp macro="" textlink="">
          <xdr:nvSpPr>
            <xdr:cNvPr id="5252" name="Object 132" hidden="1">
              <a:extLst>
                <a:ext uri="{63B3BB69-23CF-44E3-9099-C40C66FF867C}">
                  <a14:compatExt spid="_x0000_s52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315</xdr:row>
          <xdr:rowOff>0</xdr:rowOff>
        </xdr:from>
        <xdr:to>
          <xdr:col>1</xdr:col>
          <xdr:colOff>647700</xdr:colOff>
          <xdr:row>315</xdr:row>
          <xdr:rowOff>0</xdr:rowOff>
        </xdr:to>
        <xdr:sp macro="" textlink="">
          <xdr:nvSpPr>
            <xdr:cNvPr id="5253" name="Object 133" hidden="1">
              <a:extLst>
                <a:ext uri="{63B3BB69-23CF-44E3-9099-C40C66FF867C}">
                  <a14:compatExt spid="_x0000_s52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308</xdr:row>
          <xdr:rowOff>0</xdr:rowOff>
        </xdr:from>
        <xdr:to>
          <xdr:col>1</xdr:col>
          <xdr:colOff>523875</xdr:colOff>
          <xdr:row>309</xdr:row>
          <xdr:rowOff>9525</xdr:rowOff>
        </xdr:to>
        <xdr:sp macro="" textlink="">
          <xdr:nvSpPr>
            <xdr:cNvPr id="5256" name="Object 136" hidden="1">
              <a:extLst>
                <a:ext uri="{63B3BB69-23CF-44E3-9099-C40C66FF867C}">
                  <a14:compatExt spid="_x0000_s52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312</xdr:row>
          <xdr:rowOff>0</xdr:rowOff>
        </xdr:from>
        <xdr:to>
          <xdr:col>1</xdr:col>
          <xdr:colOff>561975</xdr:colOff>
          <xdr:row>313</xdr:row>
          <xdr:rowOff>38100</xdr:rowOff>
        </xdr:to>
        <xdr:sp macro="" textlink="">
          <xdr:nvSpPr>
            <xdr:cNvPr id="5259" name="Object 139" hidden="1">
              <a:extLst>
                <a:ext uri="{63B3BB69-23CF-44E3-9099-C40C66FF867C}">
                  <a14:compatExt spid="_x0000_s52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220</xdr:row>
          <xdr:rowOff>0</xdr:rowOff>
        </xdr:from>
        <xdr:to>
          <xdr:col>1</xdr:col>
          <xdr:colOff>542925</xdr:colOff>
          <xdr:row>221</xdr:row>
          <xdr:rowOff>47625</xdr:rowOff>
        </xdr:to>
        <xdr:sp macro="" textlink="">
          <xdr:nvSpPr>
            <xdr:cNvPr id="5260" name="Object 140" hidden="1">
              <a:extLst>
                <a:ext uri="{63B3BB69-23CF-44E3-9099-C40C66FF867C}">
                  <a14:compatExt spid="_x0000_s52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60;&#1061;&#1044;%20&#1085;&#1072;%202017&#1075;/&#1050;&#1086;&#1084;&#1087;&#1077;&#1085;&#1089;&#1072;&#1094;&#1080;&#1103;%20&#1079;&#1072;%20&#1074;&#1088;&#1077;&#1076;&#1085;&#1099;&#1077;%20&#1091;&#1089;&#1083;&#1086;&#1074;&#1080;&#1103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60;&#1061;&#1044;%20&#1085;&#1072;%202017&#1075;/&#1047;&#1072;&#1103;&#1074;&#1082;&#1080;%20&#1085;&#1072;%202012%20%20&#1075;&#1086;&#107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60;&#1061;&#1044;%20&#1085;&#1072;%202017&#1075;/&#1057;&#1052;&#1045;&#1058;&#1040;%20&#1053;&#1040;%202012%20&#1075;&#1086;&#1076;/&#1057;&#1042;&#1054;&#1044;%20&#1085;&#1072;%202012%20&#1075;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2;&#1089;&#1072;&#1085;&#1072;/&#1042;&#1053;&#1045;&#1041;&#1070;&#1044;&#1046;&#1045;&#1058;%20&#1055;&#1051;&#1040;&#1053;&#1048;&#1056;&#1054;&#1042;&#1040;&#1053;&#1048;&#1045;/&#1057;&#1052;&#1045;&#1058;&#1040;%20&#1053;&#1040;%202012%20&#1075;&#1086;&#1076;/&#1057;&#1042;&#1054;&#1044;%20&#1085;&#1072;%202012%20&#1075;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60;&#1061;&#1044;%20&#1085;&#1072;%202017&#1075;/&#1057;&#1052;&#1045;&#1058;&#1040;%20&#1053;&#1040;%202012%20&#1075;&#1086;&#1076;/&#1055;&#1051;&#1040;&#1058;&#1053;&#1067;&#1045;%20&#1054;&#1041;&#1056;&#1040;&#1047;&#1054;&#1042;&#1040;&#1058;&#1045;&#1051;&#1068;&#1053;&#1067;&#1045;%20&#1059;&#1057;&#1051;&#1059;&#1043;&#1048;%202012/&#1057;&#1052;&#1045;&#1058;&#1040;%20&#1045;&#1050;&#1040;&#1058;&#1045;&#1056;&#1048;&#1053;&#1041;&#1059;&#1056;&#1043;%20&#1053;&#1040;%202012%20&#1043;&#1054;&#104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2;&#1089;&#1072;&#1085;&#1072;/&#1042;&#1053;&#1045;&#1041;&#1070;&#1044;&#1046;&#1045;&#1058;%20&#1055;&#1051;&#1040;&#1053;&#1048;&#1056;&#1054;&#1042;&#1040;&#1053;&#1048;&#1045;/&#1057;&#1052;&#1045;&#1058;&#1040;%20&#1053;&#1040;%202012%20&#1075;&#1086;&#1076;/&#1055;&#1051;&#1040;&#1058;&#1053;&#1067;&#1045;%20&#1054;&#1041;&#1056;&#1040;&#1047;&#1054;&#1042;&#1040;&#1058;&#1045;&#1051;&#1068;&#1053;&#1067;&#1045;%20&#1059;&#1057;&#1051;&#1059;&#1043;&#1048;%202012/&#1057;&#1052;&#1045;&#1058;&#1040;%20&#1045;&#1050;&#1040;&#1058;&#1045;&#1056;&#1048;&#1053;&#1041;&#1059;&#1056;&#1043;%20&#1053;&#1040;%202012%20&#1043;&#1054;&#104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2;&#1089;&#1072;&#1085;&#1072;/&#1042;&#1053;&#1045;&#1041;&#1070;&#1044;&#1046;&#1045;&#1058;%20&#1055;&#1051;&#1040;&#1053;&#1048;&#1056;&#1054;&#1042;&#1040;&#1053;&#1048;&#1045;/&#1057;&#1052;&#1045;&#1058;&#1040;%20&#1053;&#1040;%202012%20&#1075;&#1086;&#1076;/&#1057;&#1052;&#1045;&#1058;&#1040;%20&#1055;&#1054;%20&#1057;&#1058;&#1054;&#1051;&#1054;&#1042;&#1054;&#1049;%20&#1053;&#1040;%202012%20&#1043;&#1054;&#1044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2;&#1089;&#1072;&#1085;&#1072;/&#1042;&#1053;&#1045;&#1041;&#1070;&#1044;&#1046;&#1045;&#1058;%20&#1055;&#1051;&#1040;&#1053;&#1048;&#1056;&#1054;&#1042;&#1040;&#1053;&#1048;&#1045;/&#1057;&#1052;&#1045;&#1058;&#1040;%20&#1053;&#1040;%202012%20&#1075;&#1086;&#1076;/&#1057;&#1052;&#1045;&#1058;&#1040;%20&#1055;&#1054;%20&#1044;&#1054;&#1041;&#1056;&#1054;&#1042;&#1054;&#1051;&#1068;&#1053;&#1067;&#1052;%20&#1055;&#1054;&#1046;&#1045;&#1056;&#1058;.%20&#1053;&#1040;%202012%20&#1043;&#1054;&#104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2;&#1089;&#1072;&#1085;&#1072;/&#1042;&#1057;&#1045;%20&#1057;&#1052;&#1045;&#1058;&#1067;/&#1042;&#1053;&#1045;&#1041;&#1070;&#1044;&#1046;&#1045;&#1058;%20&#1055;&#1051;&#1040;&#1053;&#1048;&#1056;&#1054;&#1042;&#1040;&#1053;&#1048;&#1045;/&#1057;&#1052;&#1045;&#1058;&#1040;%20&#1053;&#1040;%202012%20&#1043;&#1054;&#1044;/&#1057;&#1042;&#1054;&#1044;%20&#1085;&#1072;%202012%20&#1075;.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2;&#1089;&#1072;&#1085;&#1072;/&#1042;&#1057;&#1045;%20&#1057;&#1052;&#1045;&#1058;&#1067;/&#1042;&#1053;&#1045;&#1041;&#1070;&#1044;&#1046;&#1045;&#1058;%20&#1055;&#1051;&#1040;&#1053;&#1048;&#1056;&#1054;&#1042;&#1040;&#1053;&#1048;&#1045;/&#1057;&#1052;&#1045;&#1058;&#1040;%20&#1053;&#1040;%202012%20&#1043;&#1054;&#1044;%20&#8470;2/&#1057;&#1042;&#1054;&#1044;%20&#1085;&#1072;%202012%20&#1075;.&#8470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УП и УВП аттестац июль"/>
      <sheetName val="АУП и УВП аттестац август"/>
      <sheetName val="АУП и УВП аттестац сентябрь"/>
      <sheetName val="АУП и УВП аттестац окт"/>
      <sheetName val="АУП и УВП аттестац ноябрь"/>
      <sheetName val="АУП и УВП аттестац декабрь"/>
      <sheetName val="АУП и УВП аттестац декабрь (2)"/>
    </sheetNames>
    <sheetDataSet>
      <sheetData sheetId="0">
        <row r="4">
          <cell r="L4">
            <v>1000</v>
          </cell>
        </row>
        <row r="5">
          <cell r="L5">
            <v>471.43</v>
          </cell>
        </row>
        <row r="6">
          <cell r="L6">
            <v>228.57</v>
          </cell>
        </row>
        <row r="7">
          <cell r="L7">
            <v>95.09</v>
          </cell>
        </row>
        <row r="8">
          <cell r="L8">
            <v>333.33</v>
          </cell>
        </row>
        <row r="9">
          <cell r="L9">
            <v>471.43</v>
          </cell>
        </row>
        <row r="10">
          <cell r="L10">
            <v>231.2</v>
          </cell>
        </row>
        <row r="11">
          <cell r="L11">
            <v>161.6</v>
          </cell>
        </row>
        <row r="12">
          <cell r="L12">
            <v>28.11</v>
          </cell>
        </row>
        <row r="13">
          <cell r="L13">
            <v>41.35</v>
          </cell>
        </row>
        <row r="14">
          <cell r="L14">
            <v>115.05</v>
          </cell>
        </row>
        <row r="15">
          <cell r="L15">
            <v>249.6</v>
          </cell>
        </row>
        <row r="16">
          <cell r="L16">
            <v>214.4</v>
          </cell>
        </row>
        <row r="17">
          <cell r="L17">
            <v>146.21</v>
          </cell>
        </row>
        <row r="18">
          <cell r="L18">
            <v>161.6</v>
          </cell>
        </row>
        <row r="19">
          <cell r="L19">
            <v>93.03</v>
          </cell>
        </row>
        <row r="20">
          <cell r="L20">
            <v>161.6</v>
          </cell>
        </row>
        <row r="21">
          <cell r="L21">
            <v>84.65</v>
          </cell>
        </row>
        <row r="22">
          <cell r="L22">
            <v>31.09</v>
          </cell>
        </row>
        <row r="23">
          <cell r="L23">
            <v>231.2</v>
          </cell>
        </row>
        <row r="24">
          <cell r="L24">
            <v>108.8</v>
          </cell>
        </row>
        <row r="25">
          <cell r="L25">
            <v>102.25</v>
          </cell>
        </row>
        <row r="26">
          <cell r="L26">
            <v>120.88</v>
          </cell>
        </row>
        <row r="27">
          <cell r="L27">
            <v>294.39999999999998</v>
          </cell>
        </row>
        <row r="28">
          <cell r="L28">
            <v>56.99</v>
          </cell>
        </row>
        <row r="29">
          <cell r="L29">
            <v>0</v>
          </cell>
        </row>
        <row r="30">
          <cell r="L30">
            <v>0</v>
          </cell>
        </row>
        <row r="31">
          <cell r="L31">
            <v>80</v>
          </cell>
        </row>
        <row r="32">
          <cell r="L32">
            <v>80</v>
          </cell>
        </row>
        <row r="33">
          <cell r="L33">
            <v>0</v>
          </cell>
        </row>
        <row r="34">
          <cell r="L34">
            <v>0</v>
          </cell>
        </row>
        <row r="35">
          <cell r="L35">
            <v>177.6</v>
          </cell>
        </row>
        <row r="36">
          <cell r="L36">
            <v>44.04</v>
          </cell>
        </row>
        <row r="37">
          <cell r="L37">
            <v>44.04</v>
          </cell>
        </row>
        <row r="38">
          <cell r="L38">
            <v>0</v>
          </cell>
        </row>
        <row r="39">
          <cell r="L39">
            <v>66.06</v>
          </cell>
        </row>
        <row r="40">
          <cell r="L40">
            <v>56.99</v>
          </cell>
        </row>
        <row r="41">
          <cell r="L41">
            <v>10.210000000000001</v>
          </cell>
        </row>
        <row r="42">
          <cell r="L42">
            <v>112.3</v>
          </cell>
        </row>
        <row r="43">
          <cell r="L43">
            <v>0</v>
          </cell>
        </row>
        <row r="44">
          <cell r="L44">
            <v>61.26</v>
          </cell>
        </row>
        <row r="45">
          <cell r="L45">
            <v>37.18</v>
          </cell>
        </row>
        <row r="46">
          <cell r="L46">
            <v>0</v>
          </cell>
        </row>
        <row r="47">
          <cell r="L47">
            <v>0</v>
          </cell>
        </row>
        <row r="48">
          <cell r="L48">
            <v>11.01</v>
          </cell>
        </row>
        <row r="49">
          <cell r="L49">
            <v>195.2</v>
          </cell>
        </row>
        <row r="50">
          <cell r="L50">
            <v>163.35</v>
          </cell>
        </row>
        <row r="51">
          <cell r="L51">
            <v>8.4600000000000009</v>
          </cell>
        </row>
        <row r="52">
          <cell r="L52">
            <v>0</v>
          </cell>
        </row>
        <row r="53">
          <cell r="L53">
            <v>11.3</v>
          </cell>
        </row>
        <row r="54">
          <cell r="L54">
            <v>10.81</v>
          </cell>
        </row>
        <row r="55">
          <cell r="L55">
            <v>10.4</v>
          </cell>
        </row>
        <row r="56">
          <cell r="L56">
            <v>12.86</v>
          </cell>
        </row>
        <row r="57">
          <cell r="L57">
            <v>13.98</v>
          </cell>
        </row>
        <row r="58">
          <cell r="L58">
            <v>13.44</v>
          </cell>
        </row>
        <row r="59">
          <cell r="L59">
            <v>4.88</v>
          </cell>
        </row>
        <row r="60">
          <cell r="L60">
            <v>0</v>
          </cell>
        </row>
        <row r="61">
          <cell r="L61">
            <v>14.52</v>
          </cell>
        </row>
        <row r="62">
          <cell r="L62">
            <v>5.97</v>
          </cell>
        </row>
        <row r="63">
          <cell r="L63">
            <v>15.23</v>
          </cell>
        </row>
        <row r="64">
          <cell r="L64">
            <v>0</v>
          </cell>
        </row>
        <row r="65">
          <cell r="L65">
            <v>12.71</v>
          </cell>
        </row>
        <row r="66">
          <cell r="L66">
            <v>10.82</v>
          </cell>
        </row>
        <row r="67">
          <cell r="L67">
            <v>15.96</v>
          </cell>
        </row>
        <row r="68">
          <cell r="L68">
            <v>5.53</v>
          </cell>
        </row>
        <row r="69">
          <cell r="L69">
            <v>13.56</v>
          </cell>
        </row>
        <row r="70">
          <cell r="L70">
            <v>6.31</v>
          </cell>
        </row>
        <row r="71">
          <cell r="L71">
            <v>14.98</v>
          </cell>
        </row>
        <row r="72">
          <cell r="L72">
            <v>11.78</v>
          </cell>
        </row>
        <row r="73">
          <cell r="L73">
            <v>0</v>
          </cell>
        </row>
        <row r="74">
          <cell r="L74">
            <v>8.31</v>
          </cell>
        </row>
        <row r="75">
          <cell r="L75">
            <v>14.21</v>
          </cell>
        </row>
        <row r="76">
          <cell r="L76">
            <v>13.26</v>
          </cell>
        </row>
        <row r="77">
          <cell r="L77">
            <v>5.98</v>
          </cell>
        </row>
        <row r="78">
          <cell r="L78">
            <v>12.17</v>
          </cell>
        </row>
        <row r="79">
          <cell r="L79">
            <v>14.96</v>
          </cell>
        </row>
        <row r="80">
          <cell r="L80">
            <v>10.25</v>
          </cell>
        </row>
        <row r="81">
          <cell r="L81">
            <v>8.7100000000000009</v>
          </cell>
        </row>
        <row r="82">
          <cell r="L82">
            <v>7.53</v>
          </cell>
        </row>
        <row r="83">
          <cell r="L83">
            <v>8.51</v>
          </cell>
        </row>
        <row r="84">
          <cell r="L84">
            <v>0</v>
          </cell>
        </row>
        <row r="85">
          <cell r="L85">
            <v>9.27</v>
          </cell>
        </row>
        <row r="86">
          <cell r="L86">
            <v>8.34</v>
          </cell>
        </row>
        <row r="87">
          <cell r="L87">
            <v>12.45</v>
          </cell>
        </row>
        <row r="88">
          <cell r="L88">
            <v>3.93</v>
          </cell>
        </row>
        <row r="89">
          <cell r="L89">
            <v>2.84</v>
          </cell>
        </row>
        <row r="90">
          <cell r="L90">
            <v>13.94</v>
          </cell>
        </row>
        <row r="91">
          <cell r="L91">
            <v>18.760000000000002</v>
          </cell>
        </row>
        <row r="92">
          <cell r="L92">
            <v>0</v>
          </cell>
        </row>
        <row r="93">
          <cell r="L93">
            <v>12.78</v>
          </cell>
        </row>
        <row r="94">
          <cell r="L94">
            <v>15.22</v>
          </cell>
        </row>
        <row r="95">
          <cell r="L95">
            <v>14.82</v>
          </cell>
        </row>
        <row r="96">
          <cell r="L96">
            <v>10.61</v>
          </cell>
        </row>
        <row r="97">
          <cell r="L97">
            <v>11.41</v>
          </cell>
        </row>
        <row r="98">
          <cell r="L98">
            <v>12.21</v>
          </cell>
        </row>
        <row r="99">
          <cell r="L99">
            <v>0</v>
          </cell>
        </row>
        <row r="100">
          <cell r="L100">
            <v>7.9</v>
          </cell>
        </row>
        <row r="101">
          <cell r="L101">
            <v>5.67</v>
          </cell>
        </row>
        <row r="102">
          <cell r="L102">
            <v>0</v>
          </cell>
        </row>
        <row r="103">
          <cell r="L103">
            <v>0.69</v>
          </cell>
        </row>
        <row r="104">
          <cell r="L104">
            <v>0</v>
          </cell>
        </row>
        <row r="105">
          <cell r="L105">
            <v>0</v>
          </cell>
        </row>
        <row r="106">
          <cell r="L106">
            <v>0</v>
          </cell>
        </row>
        <row r="107">
          <cell r="L107">
            <v>0</v>
          </cell>
        </row>
        <row r="108">
          <cell r="L108">
            <v>6174.68</v>
          </cell>
        </row>
      </sheetData>
      <sheetData sheetId="1">
        <row r="4">
          <cell r="L4">
            <v>1000</v>
          </cell>
        </row>
        <row r="5">
          <cell r="L5">
            <v>508.7</v>
          </cell>
        </row>
        <row r="6">
          <cell r="L6">
            <v>0</v>
          </cell>
        </row>
        <row r="7">
          <cell r="L7">
            <v>0</v>
          </cell>
        </row>
        <row r="8">
          <cell r="L8">
            <v>700</v>
          </cell>
        </row>
        <row r="9">
          <cell r="L9">
            <v>665.22</v>
          </cell>
        </row>
        <row r="10">
          <cell r="L10">
            <v>231.2</v>
          </cell>
        </row>
        <row r="11">
          <cell r="L11">
            <v>126.47</v>
          </cell>
        </row>
        <row r="12">
          <cell r="L12">
            <v>72.73</v>
          </cell>
        </row>
        <row r="13">
          <cell r="L13">
            <v>66.8</v>
          </cell>
        </row>
        <row r="14">
          <cell r="L14">
            <v>120.8</v>
          </cell>
        </row>
        <row r="15">
          <cell r="L15">
            <v>119.37</v>
          </cell>
        </row>
        <row r="16">
          <cell r="L16">
            <v>214.4</v>
          </cell>
        </row>
        <row r="17">
          <cell r="L17">
            <v>147.55000000000001</v>
          </cell>
        </row>
        <row r="18">
          <cell r="L18">
            <v>14.05</v>
          </cell>
        </row>
        <row r="19">
          <cell r="L19">
            <v>46.33</v>
          </cell>
        </row>
        <row r="20">
          <cell r="L20">
            <v>21.08</v>
          </cell>
        </row>
        <row r="21">
          <cell r="L21">
            <v>98.37</v>
          </cell>
        </row>
        <row r="22">
          <cell r="L22">
            <v>75.69</v>
          </cell>
        </row>
        <row r="23">
          <cell r="L23">
            <v>180.94</v>
          </cell>
        </row>
        <row r="24">
          <cell r="L24">
            <v>108.8</v>
          </cell>
        </row>
        <row r="25">
          <cell r="L25">
            <v>25.46</v>
          </cell>
        </row>
        <row r="26">
          <cell r="L26">
            <v>133.6</v>
          </cell>
        </row>
        <row r="27">
          <cell r="L27">
            <v>294.39999999999998</v>
          </cell>
        </row>
        <row r="28">
          <cell r="L28">
            <v>61.5</v>
          </cell>
        </row>
        <row r="29">
          <cell r="L29">
            <v>0</v>
          </cell>
        </row>
        <row r="30">
          <cell r="L30">
            <v>0</v>
          </cell>
        </row>
        <row r="31">
          <cell r="L31">
            <v>41.74</v>
          </cell>
        </row>
        <row r="32">
          <cell r="L32">
            <v>80</v>
          </cell>
        </row>
        <row r="33">
          <cell r="L33">
            <v>0</v>
          </cell>
        </row>
        <row r="34">
          <cell r="L34">
            <v>80</v>
          </cell>
        </row>
        <row r="35">
          <cell r="L35">
            <v>177.6</v>
          </cell>
        </row>
        <row r="36">
          <cell r="L36">
            <v>0</v>
          </cell>
        </row>
        <row r="37">
          <cell r="L37">
            <v>0</v>
          </cell>
        </row>
        <row r="38">
          <cell r="L38">
            <v>0</v>
          </cell>
        </row>
        <row r="39">
          <cell r="L39">
            <v>0</v>
          </cell>
        </row>
        <row r="40">
          <cell r="L40">
            <v>61.5</v>
          </cell>
        </row>
        <row r="41">
          <cell r="L41">
            <v>27.97</v>
          </cell>
        </row>
        <row r="42">
          <cell r="L42">
            <v>102.54</v>
          </cell>
        </row>
        <row r="43">
          <cell r="L43">
            <v>0</v>
          </cell>
        </row>
        <row r="44">
          <cell r="L44">
            <v>121.18</v>
          </cell>
        </row>
        <row r="45">
          <cell r="L45">
            <v>0</v>
          </cell>
        </row>
        <row r="46">
          <cell r="L46">
            <v>0</v>
          </cell>
        </row>
        <row r="47">
          <cell r="L47">
            <v>0</v>
          </cell>
        </row>
        <row r="48">
          <cell r="L48">
            <v>30.16</v>
          </cell>
        </row>
        <row r="49">
          <cell r="L49">
            <v>195.2</v>
          </cell>
        </row>
        <row r="50">
          <cell r="L50">
            <v>0</v>
          </cell>
        </row>
        <row r="51">
          <cell r="L51">
            <v>23.17</v>
          </cell>
        </row>
        <row r="52">
          <cell r="L52">
            <v>67.900000000000006</v>
          </cell>
        </row>
        <row r="53">
          <cell r="L53">
            <v>30.94</v>
          </cell>
        </row>
        <row r="54">
          <cell r="L54">
            <v>29.6</v>
          </cell>
        </row>
        <row r="55">
          <cell r="L55">
            <v>28.48</v>
          </cell>
        </row>
        <row r="56">
          <cell r="L56">
            <v>35.22</v>
          </cell>
        </row>
        <row r="57">
          <cell r="L57">
            <v>38.299999999999997</v>
          </cell>
        </row>
        <row r="58">
          <cell r="L58">
            <v>36.799999999999997</v>
          </cell>
        </row>
        <row r="59">
          <cell r="L59">
            <v>4.45</v>
          </cell>
        </row>
        <row r="60">
          <cell r="L60">
            <v>0</v>
          </cell>
        </row>
        <row r="61">
          <cell r="L61">
            <v>39.770000000000003</v>
          </cell>
        </row>
        <row r="62">
          <cell r="L62">
            <v>16.350000000000001</v>
          </cell>
        </row>
        <row r="63">
          <cell r="L63">
            <v>41.71</v>
          </cell>
        </row>
        <row r="64">
          <cell r="L64">
            <v>0</v>
          </cell>
        </row>
        <row r="65">
          <cell r="L65">
            <v>34.799999999999997</v>
          </cell>
        </row>
        <row r="66">
          <cell r="L66">
            <v>29.63</v>
          </cell>
        </row>
        <row r="67">
          <cell r="L67">
            <v>43.71</v>
          </cell>
        </row>
        <row r="68">
          <cell r="L68">
            <v>15.15</v>
          </cell>
        </row>
        <row r="69">
          <cell r="L69">
            <v>37.130000000000003</v>
          </cell>
        </row>
        <row r="70">
          <cell r="L70">
            <v>17.28</v>
          </cell>
        </row>
        <row r="71">
          <cell r="L71">
            <v>41.04</v>
          </cell>
        </row>
        <row r="72">
          <cell r="L72">
            <v>32.28</v>
          </cell>
        </row>
        <row r="73">
          <cell r="L73">
            <v>0</v>
          </cell>
        </row>
        <row r="74">
          <cell r="L74">
            <v>22.76</v>
          </cell>
        </row>
        <row r="75">
          <cell r="L75">
            <v>38.92</v>
          </cell>
        </row>
        <row r="76">
          <cell r="L76">
            <v>36.32</v>
          </cell>
        </row>
        <row r="77">
          <cell r="L77">
            <v>16.39</v>
          </cell>
        </row>
        <row r="78">
          <cell r="L78">
            <v>33.33</v>
          </cell>
        </row>
        <row r="79">
          <cell r="L79">
            <v>40.98</v>
          </cell>
        </row>
        <row r="80">
          <cell r="L80">
            <v>28.08</v>
          </cell>
        </row>
        <row r="81">
          <cell r="L81">
            <v>23.85</v>
          </cell>
        </row>
        <row r="82">
          <cell r="L82">
            <v>0</v>
          </cell>
        </row>
        <row r="83">
          <cell r="L83">
            <v>23.3</v>
          </cell>
        </row>
        <row r="84">
          <cell r="L84">
            <v>21.71</v>
          </cell>
        </row>
        <row r="85">
          <cell r="L85">
            <v>25.4</v>
          </cell>
        </row>
        <row r="86">
          <cell r="L86">
            <v>22.84</v>
          </cell>
        </row>
        <row r="87">
          <cell r="L87">
            <v>34.1</v>
          </cell>
        </row>
        <row r="88">
          <cell r="L88">
            <v>10.76</v>
          </cell>
        </row>
        <row r="89">
          <cell r="L89">
            <v>7.77</v>
          </cell>
        </row>
        <row r="90">
          <cell r="L90">
            <v>38.19</v>
          </cell>
        </row>
        <row r="91">
          <cell r="L91">
            <v>51.39</v>
          </cell>
        </row>
        <row r="92">
          <cell r="L92">
            <v>31.07</v>
          </cell>
        </row>
        <row r="93">
          <cell r="L93">
            <v>35</v>
          </cell>
        </row>
        <row r="94">
          <cell r="L94">
            <v>41.68</v>
          </cell>
        </row>
        <row r="95">
          <cell r="L95">
            <v>0</v>
          </cell>
        </row>
        <row r="96">
          <cell r="L96">
            <v>29.07</v>
          </cell>
        </row>
        <row r="97">
          <cell r="L97">
            <v>0</v>
          </cell>
        </row>
        <row r="98">
          <cell r="L98">
            <v>33.44</v>
          </cell>
        </row>
        <row r="99">
          <cell r="L99">
            <v>0</v>
          </cell>
        </row>
        <row r="100">
          <cell r="L100">
            <v>21.63</v>
          </cell>
        </row>
        <row r="101">
          <cell r="L101">
            <v>15.54</v>
          </cell>
        </row>
        <row r="102">
          <cell r="L102">
            <v>0</v>
          </cell>
        </row>
        <row r="103">
          <cell r="L103">
            <v>1.9</v>
          </cell>
        </row>
        <row r="104">
          <cell r="L104">
            <v>0</v>
          </cell>
        </row>
        <row r="105">
          <cell r="L105">
            <v>0</v>
          </cell>
        </row>
        <row r="106">
          <cell r="L106">
            <v>0</v>
          </cell>
        </row>
        <row r="107">
          <cell r="L107">
            <v>0</v>
          </cell>
        </row>
        <row r="108">
          <cell r="L108">
            <v>6630.04</v>
          </cell>
        </row>
      </sheetData>
      <sheetData sheetId="2">
        <row r="4">
          <cell r="L4">
            <v>1000</v>
          </cell>
        </row>
        <row r="5">
          <cell r="L5">
            <v>900</v>
          </cell>
        </row>
        <row r="6">
          <cell r="L6">
            <v>727.27</v>
          </cell>
        </row>
        <row r="7">
          <cell r="L7">
            <v>499.2</v>
          </cell>
        </row>
        <row r="8">
          <cell r="L8">
            <v>700</v>
          </cell>
        </row>
        <row r="9">
          <cell r="L9">
            <v>859.09</v>
          </cell>
        </row>
        <row r="10">
          <cell r="L10">
            <v>231.2</v>
          </cell>
        </row>
        <row r="11">
          <cell r="L11">
            <v>161.6</v>
          </cell>
        </row>
        <row r="12">
          <cell r="L12">
            <v>76.040000000000006</v>
          </cell>
        </row>
        <row r="13">
          <cell r="L13">
            <v>66.8</v>
          </cell>
        </row>
        <row r="14">
          <cell r="L14">
            <v>87.85</v>
          </cell>
        </row>
        <row r="15">
          <cell r="L15">
            <v>249.6</v>
          </cell>
        </row>
        <row r="16">
          <cell r="L16">
            <v>214.4</v>
          </cell>
        </row>
        <row r="17">
          <cell r="L17">
            <v>161.6</v>
          </cell>
        </row>
        <row r="18">
          <cell r="L18">
            <v>124.87</v>
          </cell>
        </row>
        <row r="19">
          <cell r="L19">
            <v>169.53</v>
          </cell>
        </row>
        <row r="20">
          <cell r="L20">
            <v>161.6</v>
          </cell>
        </row>
        <row r="21">
          <cell r="L21">
            <v>22.04</v>
          </cell>
        </row>
        <row r="22">
          <cell r="L22">
            <v>108.8</v>
          </cell>
        </row>
        <row r="23">
          <cell r="L23">
            <v>231.2</v>
          </cell>
        </row>
        <row r="24">
          <cell r="L24">
            <v>84.07</v>
          </cell>
        </row>
        <row r="25">
          <cell r="L25">
            <v>195.2</v>
          </cell>
        </row>
        <row r="26">
          <cell r="L26">
            <v>72.87</v>
          </cell>
        </row>
        <row r="27">
          <cell r="L27">
            <v>294.39999999999998</v>
          </cell>
        </row>
        <row r="28">
          <cell r="L28">
            <v>108.8</v>
          </cell>
        </row>
        <row r="29">
          <cell r="L29">
            <v>0</v>
          </cell>
        </row>
        <row r="30">
          <cell r="L30">
            <v>0</v>
          </cell>
        </row>
        <row r="31">
          <cell r="L31">
            <v>80</v>
          </cell>
        </row>
        <row r="32">
          <cell r="L32">
            <v>54.55</v>
          </cell>
        </row>
        <row r="33">
          <cell r="L33">
            <v>0</v>
          </cell>
        </row>
        <row r="34">
          <cell r="L34">
            <v>80</v>
          </cell>
        </row>
        <row r="35">
          <cell r="L35">
            <v>177.6</v>
          </cell>
        </row>
        <row r="36">
          <cell r="L36">
            <v>231.2</v>
          </cell>
        </row>
        <row r="37">
          <cell r="L37">
            <v>231.2</v>
          </cell>
        </row>
        <row r="38">
          <cell r="L38">
            <v>105.09</v>
          </cell>
        </row>
        <row r="39">
          <cell r="L39">
            <v>210.18</v>
          </cell>
        </row>
        <row r="40">
          <cell r="L40">
            <v>108.8</v>
          </cell>
        </row>
        <row r="41">
          <cell r="L41">
            <v>214.4</v>
          </cell>
        </row>
        <row r="42">
          <cell r="L42">
            <v>204.65</v>
          </cell>
        </row>
        <row r="43">
          <cell r="L43">
            <v>113.45</v>
          </cell>
        </row>
        <row r="44">
          <cell r="L44">
            <v>68.22</v>
          </cell>
        </row>
        <row r="45">
          <cell r="L45">
            <v>195.2</v>
          </cell>
        </row>
        <row r="46">
          <cell r="L46">
            <v>133.82</v>
          </cell>
        </row>
        <row r="47">
          <cell r="L47">
            <v>42.04</v>
          </cell>
        </row>
        <row r="48">
          <cell r="L48">
            <v>231.2</v>
          </cell>
        </row>
        <row r="49">
          <cell r="L49">
            <v>0</v>
          </cell>
        </row>
        <row r="50">
          <cell r="L50">
            <v>0</v>
          </cell>
        </row>
        <row r="51">
          <cell r="L51">
            <v>177.6</v>
          </cell>
        </row>
        <row r="52">
          <cell r="L52">
            <v>195.2</v>
          </cell>
        </row>
        <row r="53">
          <cell r="L53">
            <v>233.76</v>
          </cell>
        </row>
        <row r="54">
          <cell r="L54">
            <v>200.7</v>
          </cell>
        </row>
        <row r="55">
          <cell r="L55">
            <v>253.41</v>
          </cell>
        </row>
        <row r="56">
          <cell r="L56">
            <v>239.41</v>
          </cell>
        </row>
        <row r="57">
          <cell r="L57">
            <v>203.68</v>
          </cell>
        </row>
        <row r="58">
          <cell r="L58">
            <v>202.49</v>
          </cell>
        </row>
        <row r="59">
          <cell r="L59">
            <v>150.24</v>
          </cell>
        </row>
        <row r="60">
          <cell r="L60">
            <v>155.74</v>
          </cell>
        </row>
        <row r="61">
          <cell r="L61">
            <v>268</v>
          </cell>
        </row>
        <row r="62">
          <cell r="L62">
            <v>186.71</v>
          </cell>
        </row>
        <row r="63">
          <cell r="L63">
            <v>388</v>
          </cell>
        </row>
        <row r="64">
          <cell r="L64">
            <v>0</v>
          </cell>
        </row>
        <row r="65">
          <cell r="L65">
            <v>408.55</v>
          </cell>
        </row>
        <row r="66">
          <cell r="L66">
            <v>196.28</v>
          </cell>
        </row>
        <row r="67">
          <cell r="L67">
            <v>260.81</v>
          </cell>
        </row>
        <row r="68">
          <cell r="L68">
            <v>100.95</v>
          </cell>
        </row>
        <row r="69">
          <cell r="L69">
            <v>344.23</v>
          </cell>
        </row>
        <row r="70">
          <cell r="L70">
            <v>158.12</v>
          </cell>
        </row>
        <row r="71">
          <cell r="L71">
            <v>73.09</v>
          </cell>
        </row>
        <row r="72">
          <cell r="L72">
            <v>266.81</v>
          </cell>
        </row>
        <row r="73">
          <cell r="L73">
            <v>95.59</v>
          </cell>
        </row>
        <row r="74">
          <cell r="L74">
            <v>122.98</v>
          </cell>
        </row>
        <row r="75">
          <cell r="L75">
            <v>367.46</v>
          </cell>
        </row>
        <row r="76">
          <cell r="L76">
            <v>235.54</v>
          </cell>
        </row>
        <row r="77">
          <cell r="L77">
            <v>309.39</v>
          </cell>
        </row>
        <row r="78">
          <cell r="L78">
            <v>174.81</v>
          </cell>
        </row>
        <row r="79">
          <cell r="L79">
            <v>253.11</v>
          </cell>
        </row>
        <row r="80">
          <cell r="L80">
            <v>204.57</v>
          </cell>
        </row>
        <row r="81">
          <cell r="L81">
            <v>249.54</v>
          </cell>
        </row>
        <row r="82">
          <cell r="L82">
            <v>203.38</v>
          </cell>
        </row>
        <row r="83">
          <cell r="L83">
            <v>212.02</v>
          </cell>
        </row>
        <row r="84">
          <cell r="L84">
            <v>257.58</v>
          </cell>
        </row>
        <row r="85">
          <cell r="L85">
            <v>208.74</v>
          </cell>
        </row>
        <row r="86">
          <cell r="L86">
            <v>157.22999999999999</v>
          </cell>
        </row>
        <row r="87">
          <cell r="L87">
            <v>229.29</v>
          </cell>
        </row>
        <row r="88">
          <cell r="L88">
            <v>27.1</v>
          </cell>
        </row>
        <row r="89">
          <cell r="L89">
            <v>61.04</v>
          </cell>
        </row>
        <row r="90">
          <cell r="L90">
            <v>159.01</v>
          </cell>
        </row>
        <row r="91">
          <cell r="L91">
            <v>407.36</v>
          </cell>
        </row>
        <row r="92">
          <cell r="L92">
            <v>225.12</v>
          </cell>
        </row>
        <row r="93">
          <cell r="L93">
            <v>418.08</v>
          </cell>
        </row>
        <row r="94">
          <cell r="L94">
            <v>165.56</v>
          </cell>
        </row>
        <row r="95">
          <cell r="L95">
            <v>110.58</v>
          </cell>
        </row>
        <row r="96">
          <cell r="L96">
            <v>130.68</v>
          </cell>
        </row>
        <row r="97">
          <cell r="L97">
            <v>0</v>
          </cell>
        </row>
        <row r="98">
          <cell r="L98">
            <v>311.18</v>
          </cell>
        </row>
        <row r="99">
          <cell r="L99">
            <v>131.62</v>
          </cell>
        </row>
        <row r="100">
          <cell r="L100">
            <v>214.7</v>
          </cell>
        </row>
        <row r="101">
          <cell r="L101">
            <v>107.2</v>
          </cell>
        </row>
        <row r="102">
          <cell r="L102">
            <v>110.48</v>
          </cell>
        </row>
        <row r="103">
          <cell r="L103">
            <v>122.16</v>
          </cell>
        </row>
        <row r="104">
          <cell r="L104">
            <v>0</v>
          </cell>
        </row>
        <row r="105">
          <cell r="L105">
            <v>0</v>
          </cell>
        </row>
        <row r="106">
          <cell r="L106">
            <v>0</v>
          </cell>
        </row>
        <row r="107">
          <cell r="L107">
            <v>0</v>
          </cell>
        </row>
        <row r="108">
          <cell r="L108">
            <v>19842.98</v>
          </cell>
        </row>
      </sheetData>
      <sheetData sheetId="3">
        <row r="4">
          <cell r="L4">
            <v>190.48</v>
          </cell>
        </row>
        <row r="5">
          <cell r="L5">
            <v>900</v>
          </cell>
        </row>
        <row r="6">
          <cell r="L6">
            <v>800</v>
          </cell>
        </row>
        <row r="7">
          <cell r="L7">
            <v>475.43</v>
          </cell>
        </row>
        <row r="8">
          <cell r="L8">
            <v>700</v>
          </cell>
        </row>
        <row r="9">
          <cell r="L9">
            <v>900</v>
          </cell>
        </row>
        <row r="10">
          <cell r="L10">
            <v>249.6</v>
          </cell>
        </row>
        <row r="11">
          <cell r="L11">
            <v>161.6</v>
          </cell>
        </row>
        <row r="12">
          <cell r="L12">
            <v>31.09</v>
          </cell>
        </row>
        <row r="13">
          <cell r="L13">
            <v>66.8</v>
          </cell>
        </row>
        <row r="14">
          <cell r="L14">
            <v>80.53</v>
          </cell>
        </row>
        <row r="15">
          <cell r="L15">
            <v>249.6</v>
          </cell>
        </row>
        <row r="16">
          <cell r="L16">
            <v>153.13999999999999</v>
          </cell>
        </row>
        <row r="17">
          <cell r="L17">
            <v>76.95</v>
          </cell>
        </row>
        <row r="18">
          <cell r="L18">
            <v>130.82</v>
          </cell>
        </row>
        <row r="19">
          <cell r="L19">
            <v>177.6</v>
          </cell>
        </row>
        <row r="20">
          <cell r="L20">
            <v>177.6</v>
          </cell>
        </row>
        <row r="21">
          <cell r="L21">
            <v>177.6</v>
          </cell>
        </row>
        <row r="22">
          <cell r="L22">
            <v>108.8</v>
          </cell>
        </row>
        <row r="23">
          <cell r="L23">
            <v>231.2</v>
          </cell>
        </row>
        <row r="24">
          <cell r="L24">
            <v>34.51</v>
          </cell>
        </row>
        <row r="25">
          <cell r="L25">
            <v>214.4</v>
          </cell>
        </row>
        <row r="26">
          <cell r="L26">
            <v>127.24</v>
          </cell>
        </row>
        <row r="27">
          <cell r="L27">
            <v>323.2</v>
          </cell>
        </row>
        <row r="28">
          <cell r="L28">
            <v>103.62</v>
          </cell>
        </row>
        <row r="29">
          <cell r="L29">
            <v>0</v>
          </cell>
        </row>
        <row r="30">
          <cell r="L30">
            <v>0</v>
          </cell>
        </row>
        <row r="31">
          <cell r="L31">
            <v>80</v>
          </cell>
        </row>
        <row r="32">
          <cell r="L32">
            <v>68.569999999999993</v>
          </cell>
        </row>
        <row r="33">
          <cell r="L33">
            <v>45.71</v>
          </cell>
        </row>
        <row r="34">
          <cell r="L34">
            <v>80</v>
          </cell>
        </row>
        <row r="35">
          <cell r="L35">
            <v>177.6</v>
          </cell>
        </row>
        <row r="36">
          <cell r="L36">
            <v>237.71</v>
          </cell>
        </row>
        <row r="37">
          <cell r="L37">
            <v>249.6</v>
          </cell>
        </row>
        <row r="38">
          <cell r="L38">
            <v>65.37</v>
          </cell>
        </row>
        <row r="39">
          <cell r="L39">
            <v>237.71</v>
          </cell>
        </row>
        <row r="40">
          <cell r="L40">
            <v>120.8</v>
          </cell>
        </row>
        <row r="41">
          <cell r="L41">
            <v>220.19</v>
          </cell>
        </row>
        <row r="42">
          <cell r="L42">
            <v>204.19</v>
          </cell>
        </row>
        <row r="43">
          <cell r="L43">
            <v>237.71</v>
          </cell>
        </row>
        <row r="44">
          <cell r="L44">
            <v>153.13999999999999</v>
          </cell>
        </row>
        <row r="45">
          <cell r="L45">
            <v>214.4</v>
          </cell>
        </row>
        <row r="46">
          <cell r="L46">
            <v>147.19999999999999</v>
          </cell>
        </row>
        <row r="47">
          <cell r="L47">
            <v>249.6</v>
          </cell>
        </row>
        <row r="48">
          <cell r="L48">
            <v>249.6</v>
          </cell>
        </row>
        <row r="49">
          <cell r="L49">
            <v>214.4</v>
          </cell>
        </row>
        <row r="50">
          <cell r="L50">
            <v>220.19</v>
          </cell>
        </row>
        <row r="51">
          <cell r="L51">
            <v>195.2</v>
          </cell>
        </row>
        <row r="52">
          <cell r="L52">
            <v>153.13999999999999</v>
          </cell>
        </row>
        <row r="53">
          <cell r="L53">
            <v>251.75</v>
          </cell>
        </row>
        <row r="54">
          <cell r="L54">
            <v>216.43</v>
          </cell>
        </row>
        <row r="55">
          <cell r="L55">
            <v>273.3</v>
          </cell>
        </row>
        <row r="56">
          <cell r="L56">
            <v>258.17</v>
          </cell>
        </row>
        <row r="57">
          <cell r="L57">
            <v>219.64</v>
          </cell>
        </row>
        <row r="58">
          <cell r="L58">
            <v>218.36</v>
          </cell>
        </row>
        <row r="59">
          <cell r="L59">
            <v>181.05</v>
          </cell>
        </row>
        <row r="60">
          <cell r="L60">
            <v>167.94</v>
          </cell>
        </row>
        <row r="61">
          <cell r="L61">
            <v>289</v>
          </cell>
        </row>
        <row r="62">
          <cell r="L62">
            <v>201.21</v>
          </cell>
        </row>
        <row r="63">
          <cell r="L63">
            <v>418.41</v>
          </cell>
        </row>
        <row r="64">
          <cell r="L64">
            <v>243.13</v>
          </cell>
        </row>
        <row r="65">
          <cell r="L65">
            <v>440.56</v>
          </cell>
        </row>
        <row r="66">
          <cell r="L66">
            <v>215.59</v>
          </cell>
        </row>
        <row r="67">
          <cell r="L67">
            <v>286.45999999999998</v>
          </cell>
        </row>
        <row r="68">
          <cell r="L68">
            <v>109.15</v>
          </cell>
        </row>
        <row r="69">
          <cell r="L69">
            <v>371.2</v>
          </cell>
        </row>
        <row r="70">
          <cell r="L70">
            <v>138.43</v>
          </cell>
        </row>
        <row r="71">
          <cell r="L71">
            <v>95.55</v>
          </cell>
        </row>
        <row r="72">
          <cell r="L72">
            <v>287.72000000000003</v>
          </cell>
        </row>
        <row r="73">
          <cell r="L73">
            <v>103.08</v>
          </cell>
        </row>
        <row r="74">
          <cell r="L74">
            <v>148.06</v>
          </cell>
        </row>
        <row r="75">
          <cell r="L75">
            <v>396.25</v>
          </cell>
        </row>
        <row r="76">
          <cell r="L76">
            <v>304.67</v>
          </cell>
        </row>
        <row r="77">
          <cell r="L77">
            <v>333.63</v>
          </cell>
        </row>
        <row r="78">
          <cell r="L78">
            <v>331.1</v>
          </cell>
        </row>
        <row r="79">
          <cell r="L79">
            <v>272.94</v>
          </cell>
        </row>
        <row r="80">
          <cell r="L80">
            <v>246.87</v>
          </cell>
        </row>
        <row r="81">
          <cell r="L81">
            <v>276.16000000000003</v>
          </cell>
        </row>
        <row r="82">
          <cell r="L82">
            <v>148.06</v>
          </cell>
        </row>
        <row r="83">
          <cell r="L83">
            <v>243.66</v>
          </cell>
        </row>
        <row r="84">
          <cell r="L84">
            <v>264.35000000000002</v>
          </cell>
        </row>
        <row r="85">
          <cell r="L85">
            <v>226.54</v>
          </cell>
        </row>
        <row r="86">
          <cell r="L86">
            <v>240.83</v>
          </cell>
        </row>
        <row r="87">
          <cell r="L87">
            <v>176.61</v>
          </cell>
        </row>
        <row r="88">
          <cell r="L88">
            <v>29.22</v>
          </cell>
        </row>
        <row r="89">
          <cell r="L89">
            <v>65.83</v>
          </cell>
        </row>
        <row r="90">
          <cell r="L90">
            <v>171.47</v>
          </cell>
        </row>
        <row r="91">
          <cell r="L91">
            <v>439.28</v>
          </cell>
        </row>
        <row r="92">
          <cell r="L92">
            <v>150.28</v>
          </cell>
        </row>
        <row r="93">
          <cell r="L93">
            <v>450.84</v>
          </cell>
        </row>
        <row r="94">
          <cell r="L94">
            <v>178.54</v>
          </cell>
        </row>
        <row r="95">
          <cell r="L95">
            <v>262.35000000000002</v>
          </cell>
        </row>
        <row r="96">
          <cell r="L96">
            <v>143.53</v>
          </cell>
        </row>
        <row r="97">
          <cell r="L97">
            <v>111.01</v>
          </cell>
        </row>
        <row r="98">
          <cell r="L98">
            <v>343.2</v>
          </cell>
        </row>
        <row r="99">
          <cell r="L99">
            <v>134.87</v>
          </cell>
        </row>
        <row r="100">
          <cell r="L100">
            <v>231.52</v>
          </cell>
        </row>
        <row r="101">
          <cell r="L101">
            <v>115.6</v>
          </cell>
        </row>
        <row r="102">
          <cell r="L102">
            <v>119.13</v>
          </cell>
        </row>
        <row r="103">
          <cell r="L103">
            <v>175.88</v>
          </cell>
        </row>
        <row r="106">
          <cell r="L106">
            <v>0</v>
          </cell>
        </row>
        <row r="107">
          <cell r="L107">
            <v>0</v>
          </cell>
        </row>
        <row r="108">
          <cell r="L108">
            <v>21414.1</v>
          </cell>
        </row>
      </sheetData>
      <sheetData sheetId="4">
        <row r="4">
          <cell r="L4">
            <v>857.14</v>
          </cell>
        </row>
        <row r="5">
          <cell r="L5">
            <v>557.14</v>
          </cell>
        </row>
        <row r="6">
          <cell r="L6">
            <v>800</v>
          </cell>
        </row>
        <row r="7">
          <cell r="L7">
            <v>499.2</v>
          </cell>
        </row>
        <row r="8">
          <cell r="L8">
            <v>700</v>
          </cell>
        </row>
        <row r="9">
          <cell r="L9">
            <v>771.43</v>
          </cell>
        </row>
        <row r="10">
          <cell r="L10">
            <v>249.6</v>
          </cell>
        </row>
        <row r="11">
          <cell r="L11">
            <v>161.6</v>
          </cell>
        </row>
        <row r="12">
          <cell r="L12">
            <v>108.8</v>
          </cell>
        </row>
        <row r="13">
          <cell r="L13">
            <v>66.8</v>
          </cell>
        </row>
        <row r="14">
          <cell r="L14">
            <v>103.54</v>
          </cell>
        </row>
        <row r="15">
          <cell r="L15">
            <v>249.6</v>
          </cell>
        </row>
        <row r="16">
          <cell r="L16">
            <v>214.4</v>
          </cell>
        </row>
        <row r="17">
          <cell r="L17">
            <v>153.9</v>
          </cell>
        </row>
        <row r="18">
          <cell r="L18">
            <v>130.82</v>
          </cell>
        </row>
        <row r="19">
          <cell r="L19">
            <v>169.14</v>
          </cell>
        </row>
        <row r="20">
          <cell r="L20">
            <v>177.6</v>
          </cell>
        </row>
        <row r="21">
          <cell r="L21">
            <v>177.6</v>
          </cell>
        </row>
        <row r="22">
          <cell r="L22">
            <v>108.8</v>
          </cell>
        </row>
        <row r="23">
          <cell r="L23">
            <v>231.2</v>
          </cell>
        </row>
        <row r="24">
          <cell r="L24">
            <v>120.8</v>
          </cell>
        </row>
        <row r="25">
          <cell r="L25">
            <v>214.4</v>
          </cell>
        </row>
        <row r="26">
          <cell r="L26">
            <v>50.9</v>
          </cell>
        </row>
        <row r="27">
          <cell r="L27">
            <v>323.2</v>
          </cell>
        </row>
        <row r="28">
          <cell r="L28">
            <v>108.8</v>
          </cell>
        </row>
        <row r="29">
          <cell r="L29">
            <v>0</v>
          </cell>
        </row>
        <row r="30">
          <cell r="L30">
            <v>0</v>
          </cell>
        </row>
        <row r="31">
          <cell r="L31">
            <v>80</v>
          </cell>
        </row>
        <row r="32">
          <cell r="L32">
            <v>80</v>
          </cell>
        </row>
        <row r="33">
          <cell r="L33">
            <v>80</v>
          </cell>
        </row>
        <row r="34">
          <cell r="L34">
            <v>80</v>
          </cell>
        </row>
        <row r="35">
          <cell r="L35">
            <v>177.6</v>
          </cell>
        </row>
        <row r="36">
          <cell r="L36">
            <v>249.6</v>
          </cell>
        </row>
        <row r="37">
          <cell r="L37">
            <v>237.71</v>
          </cell>
        </row>
        <row r="38">
          <cell r="L38">
            <v>124.8</v>
          </cell>
        </row>
        <row r="39">
          <cell r="L39">
            <v>249.6</v>
          </cell>
        </row>
        <row r="40">
          <cell r="L40">
            <v>120.8</v>
          </cell>
        </row>
        <row r="41">
          <cell r="L41">
            <v>198.17</v>
          </cell>
        </row>
        <row r="42">
          <cell r="L42">
            <v>214.4</v>
          </cell>
        </row>
        <row r="43">
          <cell r="L43">
            <v>202.06</v>
          </cell>
        </row>
        <row r="44">
          <cell r="L44">
            <v>214.4</v>
          </cell>
        </row>
        <row r="45">
          <cell r="L45">
            <v>132.72</v>
          </cell>
        </row>
        <row r="46">
          <cell r="L46">
            <v>126.17</v>
          </cell>
        </row>
        <row r="47">
          <cell r="L47">
            <v>154.51</v>
          </cell>
        </row>
        <row r="48">
          <cell r="L48">
            <v>249.6</v>
          </cell>
        </row>
        <row r="49">
          <cell r="L49">
            <v>214.4</v>
          </cell>
        </row>
        <row r="50">
          <cell r="L50">
            <v>231.2</v>
          </cell>
        </row>
        <row r="51">
          <cell r="L51">
            <v>195.2</v>
          </cell>
        </row>
        <row r="52">
          <cell r="L52">
            <v>214.4</v>
          </cell>
        </row>
        <row r="53">
          <cell r="L53">
            <v>251.75</v>
          </cell>
        </row>
        <row r="54">
          <cell r="L54">
            <v>216.43</v>
          </cell>
        </row>
        <row r="55">
          <cell r="L55">
            <v>273.27</v>
          </cell>
        </row>
        <row r="56">
          <cell r="L56">
            <v>258.17</v>
          </cell>
        </row>
        <row r="57">
          <cell r="L57">
            <v>219.64</v>
          </cell>
        </row>
        <row r="58">
          <cell r="L58">
            <v>218.36</v>
          </cell>
        </row>
        <row r="59">
          <cell r="L59">
            <v>113.15</v>
          </cell>
        </row>
        <row r="60">
          <cell r="L60">
            <v>193.47</v>
          </cell>
        </row>
        <row r="61">
          <cell r="L61">
            <v>289</v>
          </cell>
        </row>
        <row r="62">
          <cell r="L62">
            <v>217.94</v>
          </cell>
        </row>
        <row r="63">
          <cell r="L63">
            <v>418.41</v>
          </cell>
        </row>
        <row r="64">
          <cell r="L64">
            <v>340.38</v>
          </cell>
        </row>
        <row r="65">
          <cell r="L65">
            <v>440.56</v>
          </cell>
        </row>
        <row r="66">
          <cell r="L66">
            <v>217.74</v>
          </cell>
        </row>
        <row r="67">
          <cell r="L67">
            <v>286.45999999999998</v>
          </cell>
        </row>
        <row r="68">
          <cell r="L68">
            <v>108.86</v>
          </cell>
        </row>
        <row r="69">
          <cell r="L69">
            <v>371.2</v>
          </cell>
        </row>
        <row r="70">
          <cell r="L70">
            <v>138.43</v>
          </cell>
        </row>
        <row r="71">
          <cell r="L71">
            <v>82.81</v>
          </cell>
        </row>
        <row r="72">
          <cell r="L72">
            <v>303.45</v>
          </cell>
        </row>
        <row r="73">
          <cell r="L73">
            <v>103.08</v>
          </cell>
        </row>
        <row r="74">
          <cell r="L74">
            <v>148.06</v>
          </cell>
        </row>
        <row r="75">
          <cell r="L75">
            <v>396.25</v>
          </cell>
        </row>
        <row r="76">
          <cell r="L76">
            <v>308.27</v>
          </cell>
        </row>
        <row r="77">
          <cell r="L77">
            <v>333.63</v>
          </cell>
        </row>
        <row r="78">
          <cell r="L78">
            <v>331.1</v>
          </cell>
        </row>
        <row r="79">
          <cell r="L79">
            <v>272.94</v>
          </cell>
        </row>
        <row r="80">
          <cell r="L80">
            <v>240.42</v>
          </cell>
        </row>
        <row r="81">
          <cell r="L81">
            <v>268.13</v>
          </cell>
        </row>
        <row r="82">
          <cell r="L82">
            <v>128.31</v>
          </cell>
        </row>
        <row r="83">
          <cell r="L83">
            <v>243.66</v>
          </cell>
        </row>
        <row r="84">
          <cell r="L84">
            <v>277.57</v>
          </cell>
        </row>
        <row r="85">
          <cell r="L85">
            <v>82.24</v>
          </cell>
        </row>
        <row r="86">
          <cell r="L86">
            <v>240.83</v>
          </cell>
        </row>
        <row r="87">
          <cell r="L87">
            <v>247.26</v>
          </cell>
        </row>
        <row r="88">
          <cell r="L88">
            <v>27.83</v>
          </cell>
        </row>
        <row r="89">
          <cell r="L89">
            <v>65.83</v>
          </cell>
        </row>
        <row r="90">
          <cell r="L90">
            <v>171.47</v>
          </cell>
        </row>
        <row r="91">
          <cell r="L91">
            <v>418.36</v>
          </cell>
        </row>
        <row r="92">
          <cell r="L92">
            <v>150.28</v>
          </cell>
        </row>
        <row r="93">
          <cell r="L93">
            <v>450.84</v>
          </cell>
        </row>
        <row r="94">
          <cell r="L94">
            <v>178.54</v>
          </cell>
        </row>
        <row r="95">
          <cell r="L95">
            <v>237.36</v>
          </cell>
        </row>
        <row r="96">
          <cell r="L96">
            <v>171.22</v>
          </cell>
        </row>
        <row r="97">
          <cell r="L97">
            <v>201.84</v>
          </cell>
        </row>
        <row r="98">
          <cell r="L98">
            <v>362.44</v>
          </cell>
        </row>
        <row r="99">
          <cell r="L99">
            <v>70.64</v>
          </cell>
        </row>
        <row r="100">
          <cell r="L100">
            <v>231.52</v>
          </cell>
        </row>
        <row r="101">
          <cell r="L101">
            <v>115.6</v>
          </cell>
        </row>
        <row r="102">
          <cell r="L102">
            <v>119.13</v>
          </cell>
        </row>
        <row r="103">
          <cell r="L103">
            <v>134.5</v>
          </cell>
        </row>
        <row r="104">
          <cell r="L104">
            <v>37.159999999999997</v>
          </cell>
        </row>
        <row r="105">
          <cell r="L105">
            <v>80.53</v>
          </cell>
        </row>
        <row r="106">
          <cell r="L106">
            <v>26.17</v>
          </cell>
        </row>
        <row r="107">
          <cell r="L107">
            <v>26.17</v>
          </cell>
        </row>
        <row r="108">
          <cell r="L108">
            <v>21955.77</v>
          </cell>
        </row>
      </sheetData>
      <sheetData sheetId="5"/>
      <sheetData sheetId="6">
        <row r="4">
          <cell r="L4">
            <v>1000</v>
          </cell>
        </row>
        <row r="5">
          <cell r="L5">
            <v>900</v>
          </cell>
        </row>
        <row r="6">
          <cell r="L6">
            <v>800</v>
          </cell>
        </row>
        <row r="7">
          <cell r="L7">
            <v>499.2</v>
          </cell>
        </row>
        <row r="8">
          <cell r="L8">
            <v>700</v>
          </cell>
        </row>
        <row r="9">
          <cell r="L9">
            <v>900</v>
          </cell>
        </row>
        <row r="10">
          <cell r="L10">
            <v>249.6</v>
          </cell>
        </row>
        <row r="11">
          <cell r="L11">
            <v>161.6</v>
          </cell>
        </row>
        <row r="12">
          <cell r="L12">
            <v>108.8</v>
          </cell>
        </row>
        <row r="13">
          <cell r="L13">
            <v>66.8</v>
          </cell>
        </row>
        <row r="14">
          <cell r="L14">
            <v>120.8</v>
          </cell>
        </row>
        <row r="15">
          <cell r="L15">
            <v>249.6</v>
          </cell>
        </row>
        <row r="16">
          <cell r="L16">
            <v>214.4</v>
          </cell>
        </row>
        <row r="17">
          <cell r="L17">
            <v>161.6</v>
          </cell>
        </row>
        <row r="18">
          <cell r="L18">
            <v>161.6</v>
          </cell>
        </row>
        <row r="19">
          <cell r="L19">
            <v>177.6</v>
          </cell>
        </row>
        <row r="20">
          <cell r="L20">
            <v>177.6</v>
          </cell>
        </row>
        <row r="21">
          <cell r="L21">
            <v>177.6</v>
          </cell>
        </row>
        <row r="22">
          <cell r="L22">
            <v>108.8</v>
          </cell>
        </row>
        <row r="23">
          <cell r="L23">
            <v>231.2</v>
          </cell>
        </row>
        <row r="24">
          <cell r="L24">
            <v>120.8</v>
          </cell>
        </row>
        <row r="25">
          <cell r="L25">
            <v>214.4</v>
          </cell>
        </row>
        <row r="26">
          <cell r="L26">
            <v>133.6</v>
          </cell>
        </row>
        <row r="27">
          <cell r="L27">
            <v>323.2</v>
          </cell>
        </row>
        <row r="28">
          <cell r="L28">
            <v>108.8</v>
          </cell>
        </row>
        <row r="29">
          <cell r="L29">
            <v>241.6</v>
          </cell>
        </row>
        <row r="30">
          <cell r="L30">
            <v>217.6</v>
          </cell>
        </row>
        <row r="31">
          <cell r="L31">
            <v>80</v>
          </cell>
        </row>
        <row r="32">
          <cell r="L32">
            <v>80</v>
          </cell>
        </row>
        <row r="33">
          <cell r="L33">
            <v>80</v>
          </cell>
        </row>
        <row r="34">
          <cell r="L34">
            <v>80</v>
          </cell>
        </row>
        <row r="35">
          <cell r="L35">
            <v>177.6</v>
          </cell>
        </row>
        <row r="36">
          <cell r="L36">
            <v>249.6</v>
          </cell>
        </row>
        <row r="37">
          <cell r="L37">
            <v>249.6</v>
          </cell>
        </row>
        <row r="38">
          <cell r="L38">
            <v>124.8</v>
          </cell>
        </row>
        <row r="39">
          <cell r="L39">
            <v>249.6</v>
          </cell>
        </row>
        <row r="40">
          <cell r="L40">
            <v>120.8</v>
          </cell>
        </row>
        <row r="41">
          <cell r="L41">
            <v>231.2</v>
          </cell>
        </row>
        <row r="42">
          <cell r="L42">
            <v>214.4</v>
          </cell>
        </row>
        <row r="43">
          <cell r="L43">
            <v>249.6</v>
          </cell>
        </row>
        <row r="44">
          <cell r="L44">
            <v>214.4</v>
          </cell>
        </row>
        <row r="45">
          <cell r="L45">
            <v>214.4</v>
          </cell>
        </row>
        <row r="46">
          <cell r="L46">
            <v>147.19999999999999</v>
          </cell>
        </row>
        <row r="47">
          <cell r="L47">
            <v>249.6</v>
          </cell>
        </row>
        <row r="48">
          <cell r="L48">
            <v>249.6</v>
          </cell>
        </row>
        <row r="49">
          <cell r="L49">
            <v>214.4</v>
          </cell>
        </row>
        <row r="50">
          <cell r="L50">
            <v>231.2</v>
          </cell>
        </row>
        <row r="51">
          <cell r="L51">
            <v>195.2</v>
          </cell>
        </row>
        <row r="52">
          <cell r="L52">
            <v>214.4</v>
          </cell>
        </row>
        <row r="53">
          <cell r="L53">
            <v>251.75</v>
          </cell>
        </row>
        <row r="54">
          <cell r="L54">
            <v>216.43</v>
          </cell>
        </row>
        <row r="55">
          <cell r="L55">
            <v>273.27</v>
          </cell>
        </row>
        <row r="56">
          <cell r="L56">
            <v>258.17</v>
          </cell>
        </row>
        <row r="57">
          <cell r="L57">
            <v>219.64</v>
          </cell>
        </row>
        <row r="58">
          <cell r="L58">
            <v>218.36</v>
          </cell>
        </row>
        <row r="59">
          <cell r="L59">
            <v>237.62</v>
          </cell>
        </row>
        <row r="60">
          <cell r="L60">
            <v>193.47</v>
          </cell>
        </row>
        <row r="61">
          <cell r="L61">
            <v>289</v>
          </cell>
        </row>
        <row r="62">
          <cell r="L62">
            <v>217.94</v>
          </cell>
        </row>
        <row r="63">
          <cell r="L63">
            <v>418.41</v>
          </cell>
        </row>
        <row r="64">
          <cell r="L64">
            <v>340.38</v>
          </cell>
        </row>
        <row r="65">
          <cell r="L65">
            <v>440.56</v>
          </cell>
        </row>
        <row r="66">
          <cell r="L66">
            <v>217.74</v>
          </cell>
        </row>
        <row r="67">
          <cell r="L67">
            <v>286.45999999999998</v>
          </cell>
        </row>
        <row r="68">
          <cell r="L68">
            <v>108.86</v>
          </cell>
        </row>
        <row r="69">
          <cell r="L69">
            <v>371.2</v>
          </cell>
        </row>
        <row r="70">
          <cell r="L70">
            <v>292.20999999999998</v>
          </cell>
        </row>
        <row r="71">
          <cell r="L71">
            <v>133.77000000000001</v>
          </cell>
        </row>
        <row r="72">
          <cell r="L72">
            <v>355.95</v>
          </cell>
        </row>
        <row r="73">
          <cell r="L73">
            <v>103.08</v>
          </cell>
        </row>
        <row r="74">
          <cell r="L74">
            <v>148.06</v>
          </cell>
        </row>
        <row r="75">
          <cell r="L75">
            <v>396.25</v>
          </cell>
        </row>
        <row r="76">
          <cell r="L76">
            <v>308.27</v>
          </cell>
        </row>
        <row r="77">
          <cell r="L77">
            <v>333.63</v>
          </cell>
        </row>
        <row r="78">
          <cell r="L78">
            <v>331.1</v>
          </cell>
        </row>
        <row r="79">
          <cell r="L79">
            <v>272.94</v>
          </cell>
        </row>
        <row r="80">
          <cell r="L80">
            <v>240.42</v>
          </cell>
        </row>
        <row r="81">
          <cell r="L81">
            <v>268.13</v>
          </cell>
        </row>
        <row r="82">
          <cell r="L82">
            <v>207.28</v>
          </cell>
        </row>
        <row r="83">
          <cell r="L83">
            <v>243.66</v>
          </cell>
        </row>
        <row r="84">
          <cell r="L84">
            <v>277.57</v>
          </cell>
        </row>
        <row r="85">
          <cell r="L85">
            <v>132.84</v>
          </cell>
        </row>
        <row r="86">
          <cell r="L86">
            <v>240.83</v>
          </cell>
        </row>
        <row r="87">
          <cell r="L87">
            <v>247.26</v>
          </cell>
        </row>
        <row r="88">
          <cell r="L88">
            <v>29.22</v>
          </cell>
        </row>
        <row r="89">
          <cell r="L89">
            <v>65.83</v>
          </cell>
        </row>
        <row r="90">
          <cell r="L90">
            <v>161.9</v>
          </cell>
        </row>
        <row r="91">
          <cell r="L91">
            <v>439.28</v>
          </cell>
        </row>
        <row r="92">
          <cell r="L92">
            <v>242.76</v>
          </cell>
        </row>
        <row r="93">
          <cell r="L93">
            <v>450.84</v>
          </cell>
        </row>
        <row r="94">
          <cell r="L94">
            <v>178.54</v>
          </cell>
        </row>
        <row r="95">
          <cell r="L95">
            <v>262.35000000000002</v>
          </cell>
        </row>
        <row r="96">
          <cell r="L96">
            <v>171.22</v>
          </cell>
        </row>
        <row r="97">
          <cell r="L97">
            <v>211.93</v>
          </cell>
        </row>
        <row r="98">
          <cell r="L98">
            <v>362.44</v>
          </cell>
        </row>
        <row r="99">
          <cell r="L99">
            <v>134.87</v>
          </cell>
        </row>
        <row r="100">
          <cell r="L100">
            <v>231.52</v>
          </cell>
        </row>
        <row r="101">
          <cell r="L101">
            <v>115.6</v>
          </cell>
        </row>
        <row r="102">
          <cell r="L102">
            <v>119.13</v>
          </cell>
        </row>
        <row r="103">
          <cell r="L103">
            <v>249.09</v>
          </cell>
        </row>
        <row r="104">
          <cell r="L104">
            <v>65.03</v>
          </cell>
        </row>
        <row r="105">
          <cell r="L105">
            <v>120.8</v>
          </cell>
        </row>
        <row r="106">
          <cell r="L106">
            <v>42.28</v>
          </cell>
        </row>
        <row r="107">
          <cell r="L107">
            <v>42.28</v>
          </cell>
        </row>
        <row r="108">
          <cell r="L108">
            <v>24381.02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узгалтерия (3)"/>
      <sheetName val="бухгалтерия"/>
      <sheetName val="Кинзикеев Р.Х."/>
      <sheetName val="Кононов А.П."/>
      <sheetName val="Фазлыева Т.В."/>
      <sheetName val="Черногубова Л.В."/>
      <sheetName val="уч.часть"/>
      <sheetName val="библиотека"/>
      <sheetName val="Мухлынин"/>
      <sheetName val="Гребнев"/>
      <sheetName val="столовая"/>
      <sheetName val="ДО"/>
      <sheetName val="Автокурсы"/>
      <sheetName val="Назарова"/>
      <sheetName val="Земова"/>
      <sheetName val="Озорнина"/>
      <sheetName val="Данилюк"/>
      <sheetName val="Ершов "/>
      <sheetName val="Комиссарова"/>
      <sheetName val="бузгалтерия (2)"/>
      <sheetName val="бухгалтерия от 10.09.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2">
          <cell r="E12">
            <v>2400</v>
          </cell>
        </row>
        <row r="13">
          <cell r="E13">
            <v>5000</v>
          </cell>
        </row>
        <row r="14">
          <cell r="E14">
            <v>10000</v>
          </cell>
        </row>
        <row r="15">
          <cell r="E15">
            <v>20000</v>
          </cell>
        </row>
        <row r="16">
          <cell r="E16">
            <v>6000</v>
          </cell>
        </row>
        <row r="17">
          <cell r="E17">
            <v>10000</v>
          </cell>
        </row>
        <row r="18">
          <cell r="E18">
            <v>2000</v>
          </cell>
        </row>
        <row r="19">
          <cell r="E19">
            <v>1000</v>
          </cell>
        </row>
        <row r="20">
          <cell r="E20">
            <v>40000</v>
          </cell>
        </row>
        <row r="21">
          <cell r="E21">
            <v>50000</v>
          </cell>
        </row>
        <row r="22">
          <cell r="E22">
            <v>11200</v>
          </cell>
        </row>
        <row r="23">
          <cell r="E23">
            <v>4190</v>
          </cell>
        </row>
        <row r="24">
          <cell r="E24">
            <v>1900</v>
          </cell>
        </row>
        <row r="25">
          <cell r="E25">
            <v>17000</v>
          </cell>
        </row>
        <row r="26">
          <cell r="E26">
            <v>4000</v>
          </cell>
        </row>
        <row r="27">
          <cell r="E27">
            <v>10000</v>
          </cell>
        </row>
        <row r="31">
          <cell r="E31">
            <v>40000</v>
          </cell>
        </row>
        <row r="32">
          <cell r="E32">
            <v>30000</v>
          </cell>
        </row>
        <row r="33">
          <cell r="E33">
            <v>30000</v>
          </cell>
        </row>
      </sheetData>
      <sheetData sheetId="19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анализ ауп 2010-2011"/>
      <sheetName val="15 подр."/>
      <sheetName val="16 подр."/>
      <sheetName val="5 подр.(Автокурсы)"/>
      <sheetName val="10 подр.(доп.образ.)"/>
      <sheetName val="17 под."/>
      <sheetName val="14 под.(Множ.центр)"/>
      <sheetName val="анализ выручки 14 подр."/>
      <sheetName val="столовая"/>
      <sheetName val="общежитие"/>
      <sheetName val="добр.пож._Охрана"/>
      <sheetName val="добр.пож._РМБ"/>
      <sheetName val="добр.пож._Общежитие"/>
      <sheetName val="приложение к смете декабрь"/>
      <sheetName val="смета от 11.01.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8">
          <cell r="C38">
            <v>18232767.02</v>
          </cell>
        </row>
        <row r="40">
          <cell r="C40">
            <v>8228738.0499999998</v>
          </cell>
        </row>
        <row r="42">
          <cell r="C42">
            <v>2485078.9</v>
          </cell>
        </row>
        <row r="45">
          <cell r="H45">
            <v>20640.82</v>
          </cell>
          <cell r="AB45">
            <v>290374.78000000003</v>
          </cell>
          <cell r="AF45">
            <v>548312.9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анализ ауп 2010-2011"/>
      <sheetName val="15 подр."/>
      <sheetName val="16 подр."/>
      <sheetName val="5 подр.(Автокурсы)"/>
      <sheetName val="10 подр.(доп.образ.)"/>
      <sheetName val="17 под."/>
      <sheetName val="14 под.(Множ.центр)"/>
      <sheetName val="анализ выручки 14 подр."/>
      <sheetName val="столовая"/>
      <sheetName val="общежитие"/>
      <sheetName val="добр.пож._Охрана"/>
      <sheetName val="добр.пож._РМБ"/>
      <sheetName val="добр.пож._Общежитие"/>
      <sheetName val="Титульный лист "/>
      <sheetName val="смета от 11.01.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20">
          <cell r="C20">
            <v>62726</v>
          </cell>
        </row>
        <row r="24">
          <cell r="C24">
            <v>94613.71</v>
          </cell>
        </row>
        <row r="25">
          <cell r="C25">
            <v>272085.93</v>
          </cell>
        </row>
        <row r="26">
          <cell r="C26">
            <v>896724.5</v>
          </cell>
        </row>
        <row r="27">
          <cell r="C27">
            <v>648365</v>
          </cell>
        </row>
        <row r="28">
          <cell r="C28">
            <v>956457.03</v>
          </cell>
        </row>
        <row r="29">
          <cell r="C29">
            <v>1852081.68</v>
          </cell>
        </row>
        <row r="31">
          <cell r="C31">
            <v>879436.58</v>
          </cell>
        </row>
        <row r="32">
          <cell r="C32">
            <v>3218895.57</v>
          </cell>
          <cell r="E32">
            <v>33.049999999999997</v>
          </cell>
          <cell r="F32">
            <v>815144.67</v>
          </cell>
          <cell r="H32">
            <v>2682.76</v>
          </cell>
          <cell r="J32">
            <v>42862.45</v>
          </cell>
          <cell r="N32">
            <v>16913.349999999999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 на 2012  год "/>
      <sheetName val="расчет з.п."/>
      <sheetName val="расходы на 2012 год"/>
      <sheetName val="смета на 2012 год"/>
    </sheetNames>
    <sheetDataSet>
      <sheetData sheetId="0"/>
      <sheetData sheetId="1"/>
      <sheetData sheetId="2">
        <row r="97">
          <cell r="G97">
            <v>238872.48</v>
          </cell>
        </row>
      </sheetData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 (2)"/>
      <sheetName val="Титульный лист"/>
      <sheetName val="Лист 2"/>
      <sheetName val="Доходы на 2012  год "/>
      <sheetName val="расчет з.п."/>
      <sheetName val="расходы на 2012 год"/>
    </sheetNames>
    <sheetDataSet>
      <sheetData sheetId="0"/>
      <sheetData sheetId="1"/>
      <sheetData sheetId="2"/>
      <sheetData sheetId="3"/>
      <sheetData sheetId="4"/>
      <sheetData sheetId="5">
        <row r="97">
          <cell r="G97">
            <v>3756.48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"/>
      <sheetName val="Титульный лист"/>
      <sheetName val="Лист2"/>
      <sheetName val="расходы план на 2012 год"/>
      <sheetName val="223 буфет факт  (2)"/>
    </sheetNames>
    <sheetDataSet>
      <sheetData sheetId="0"/>
      <sheetData sheetId="1"/>
      <sheetData sheetId="2"/>
      <sheetData sheetId="3">
        <row r="55">
          <cell r="G55">
            <v>1861.28</v>
          </cell>
        </row>
      </sheetData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Лист2 итоговая"/>
      <sheetName val="Лист2 охр"/>
      <sheetName val="Лист2РМБ"/>
      <sheetName val="Лист2 Общ."/>
      <sheetName val="расх.охрана на 2012 год"/>
      <sheetName val="расходы  РМТБ на 2012 год"/>
      <sheetName val="расходы на 2012 год общежитие"/>
      <sheetName val="доход охрана на 2012 год "/>
      <sheetName val="Смета Комисаровой"/>
      <sheetName val="доход на 2012 на общежити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5">
          <cell r="G35">
            <v>2044.36</v>
          </cell>
        </row>
        <row r="36">
          <cell r="G36">
            <v>5560.64</v>
          </cell>
        </row>
      </sheetData>
      <sheetData sheetId="8"/>
      <sheetData sheetId="9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 дохода за 5 месяцев"/>
      <sheetName val="Лист1"/>
      <sheetName val="анализ ауп 2010-2011"/>
      <sheetName val="15 подр."/>
      <sheetName val="16 подр."/>
      <sheetName val="5 подр.(Автокурсы)"/>
      <sheetName val="10 подр.(доп.образ.)"/>
      <sheetName val="17 под."/>
      <sheetName val="14 под.(Множ.центр)"/>
      <sheetName val="анализ выручки 14 подр."/>
      <sheetName val="столовая"/>
      <sheetName val="общежитие"/>
      <sheetName val="добр.пож._Охрана"/>
      <sheetName val="добр.пож._РМБ"/>
      <sheetName val="добр.пож._Общежитие"/>
      <sheetName val="Титульный лист "/>
      <sheetName val="смета от 11.01.2012"/>
      <sheetName val="смета от 05.05.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8">
          <cell r="C28">
            <v>648365</v>
          </cell>
        </row>
        <row r="30">
          <cell r="C30">
            <v>1852081.68</v>
          </cell>
        </row>
      </sheetData>
      <sheetData sheetId="1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 дохода за 5 месяцев"/>
      <sheetName val="Лист1"/>
      <sheetName val="анализ ауп 2010-2011"/>
      <sheetName val="15 подр."/>
      <sheetName val="16 подр."/>
      <sheetName val="5 подр.(Автокурсы)"/>
      <sheetName val="10 подр.(доп.образ.)"/>
      <sheetName val="17 под."/>
      <sheetName val="14 под.(Множ.центр)"/>
      <sheetName val="анализ выручки 14 подр."/>
      <sheetName val="столовая"/>
      <sheetName val="общежитие"/>
      <sheetName val="добр.пож._Охрана"/>
      <sheetName val="добр.пож._РМБ"/>
      <sheetName val="добр.пож._Общежитие"/>
      <sheetName val="Титульный лист "/>
      <sheetName val="смета от 11.01.2012"/>
      <sheetName val="смета от 05.05.2012"/>
      <sheetName val="смета от 09.06.2012 г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31">
          <cell r="E31">
            <v>556034.89</v>
          </cell>
          <cell r="F31">
            <v>204123.97</v>
          </cell>
          <cell r="G31">
            <v>26443.13</v>
          </cell>
          <cell r="H31">
            <v>96437.22</v>
          </cell>
          <cell r="P31">
            <v>1570468.93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wmf"/><Relationship Id="rId5" Type="http://schemas.openxmlformats.org/officeDocument/2006/relationships/image" Target="../media/image1.w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/Relationships>
</file>

<file path=xl/worksheets/_rels/sheet14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16.bin"/><Relationship Id="rId117" Type="http://schemas.openxmlformats.org/officeDocument/2006/relationships/image" Target="../media/image61.wmf"/><Relationship Id="rId21" Type="http://schemas.openxmlformats.org/officeDocument/2006/relationships/image" Target="../media/image13.wmf"/><Relationship Id="rId42" Type="http://schemas.openxmlformats.org/officeDocument/2006/relationships/oleObject" Target="../embeddings/oleObject24.bin"/><Relationship Id="rId47" Type="http://schemas.openxmlformats.org/officeDocument/2006/relationships/image" Target="../media/image26.wmf"/><Relationship Id="rId63" Type="http://schemas.openxmlformats.org/officeDocument/2006/relationships/image" Target="../media/image34.wmf"/><Relationship Id="rId68" Type="http://schemas.openxmlformats.org/officeDocument/2006/relationships/oleObject" Target="../embeddings/oleObject37.bin"/><Relationship Id="rId84" Type="http://schemas.openxmlformats.org/officeDocument/2006/relationships/oleObject" Target="../embeddings/oleObject45.bin"/><Relationship Id="rId89" Type="http://schemas.openxmlformats.org/officeDocument/2006/relationships/image" Target="../media/image47.wmf"/><Relationship Id="rId112" Type="http://schemas.openxmlformats.org/officeDocument/2006/relationships/oleObject" Target="../embeddings/oleObject59.bin"/><Relationship Id="rId133" Type="http://schemas.openxmlformats.org/officeDocument/2006/relationships/image" Target="../media/image69.wmf"/><Relationship Id="rId138" Type="http://schemas.openxmlformats.org/officeDocument/2006/relationships/oleObject" Target="../embeddings/oleObject74.bin"/><Relationship Id="rId16" Type="http://schemas.openxmlformats.org/officeDocument/2006/relationships/oleObject" Target="../embeddings/oleObject11.bin"/><Relationship Id="rId107" Type="http://schemas.openxmlformats.org/officeDocument/2006/relationships/image" Target="../media/image56.wmf"/><Relationship Id="rId11" Type="http://schemas.openxmlformats.org/officeDocument/2006/relationships/image" Target="../media/image8.wmf"/><Relationship Id="rId32" Type="http://schemas.openxmlformats.org/officeDocument/2006/relationships/oleObject" Target="../embeddings/oleObject19.bin"/><Relationship Id="rId37" Type="http://schemas.openxmlformats.org/officeDocument/2006/relationships/image" Target="../media/image21.wmf"/><Relationship Id="rId53" Type="http://schemas.openxmlformats.org/officeDocument/2006/relationships/image" Target="../media/image29.wmf"/><Relationship Id="rId58" Type="http://schemas.openxmlformats.org/officeDocument/2006/relationships/oleObject" Target="../embeddings/oleObject32.bin"/><Relationship Id="rId74" Type="http://schemas.openxmlformats.org/officeDocument/2006/relationships/oleObject" Target="../embeddings/oleObject40.bin"/><Relationship Id="rId79" Type="http://schemas.openxmlformats.org/officeDocument/2006/relationships/image" Target="../media/image42.wmf"/><Relationship Id="rId102" Type="http://schemas.openxmlformats.org/officeDocument/2006/relationships/oleObject" Target="../embeddings/oleObject54.bin"/><Relationship Id="rId123" Type="http://schemas.openxmlformats.org/officeDocument/2006/relationships/image" Target="../media/image64.wmf"/><Relationship Id="rId128" Type="http://schemas.openxmlformats.org/officeDocument/2006/relationships/oleObject" Target="../embeddings/oleObject67.bin"/><Relationship Id="rId144" Type="http://schemas.openxmlformats.org/officeDocument/2006/relationships/oleObject" Target="../embeddings/oleObject78.bin"/><Relationship Id="rId5" Type="http://schemas.openxmlformats.org/officeDocument/2006/relationships/image" Target="../media/image5.wmf"/><Relationship Id="rId90" Type="http://schemas.openxmlformats.org/officeDocument/2006/relationships/oleObject" Target="../embeddings/oleObject48.bin"/><Relationship Id="rId95" Type="http://schemas.openxmlformats.org/officeDocument/2006/relationships/image" Target="../media/image50.wmf"/><Relationship Id="rId22" Type="http://schemas.openxmlformats.org/officeDocument/2006/relationships/oleObject" Target="../embeddings/oleObject14.bin"/><Relationship Id="rId27" Type="http://schemas.openxmlformats.org/officeDocument/2006/relationships/image" Target="../media/image16.wmf"/><Relationship Id="rId43" Type="http://schemas.openxmlformats.org/officeDocument/2006/relationships/image" Target="../media/image24.wmf"/><Relationship Id="rId48" Type="http://schemas.openxmlformats.org/officeDocument/2006/relationships/oleObject" Target="../embeddings/oleObject27.bin"/><Relationship Id="rId64" Type="http://schemas.openxmlformats.org/officeDocument/2006/relationships/oleObject" Target="../embeddings/oleObject35.bin"/><Relationship Id="rId69" Type="http://schemas.openxmlformats.org/officeDocument/2006/relationships/image" Target="../media/image37.wmf"/><Relationship Id="rId113" Type="http://schemas.openxmlformats.org/officeDocument/2006/relationships/image" Target="../media/image59.wmf"/><Relationship Id="rId118" Type="http://schemas.openxmlformats.org/officeDocument/2006/relationships/oleObject" Target="../embeddings/oleObject62.bin"/><Relationship Id="rId134" Type="http://schemas.openxmlformats.org/officeDocument/2006/relationships/oleObject" Target="../embeddings/oleObject70.bin"/><Relationship Id="rId139" Type="http://schemas.openxmlformats.org/officeDocument/2006/relationships/image" Target="../media/image70.wmf"/><Relationship Id="rId80" Type="http://schemas.openxmlformats.org/officeDocument/2006/relationships/oleObject" Target="../embeddings/oleObject43.bin"/><Relationship Id="rId85" Type="http://schemas.openxmlformats.org/officeDocument/2006/relationships/image" Target="../media/image45.wmf"/><Relationship Id="rId3" Type="http://schemas.openxmlformats.org/officeDocument/2006/relationships/vmlDrawing" Target="../drawings/vmlDrawing2.vml"/><Relationship Id="rId12" Type="http://schemas.openxmlformats.org/officeDocument/2006/relationships/oleObject" Target="../embeddings/oleObject9.bin"/><Relationship Id="rId17" Type="http://schemas.openxmlformats.org/officeDocument/2006/relationships/image" Target="../media/image11.wmf"/><Relationship Id="rId25" Type="http://schemas.openxmlformats.org/officeDocument/2006/relationships/image" Target="../media/image15.wmf"/><Relationship Id="rId33" Type="http://schemas.openxmlformats.org/officeDocument/2006/relationships/image" Target="../media/image19.wmf"/><Relationship Id="rId38" Type="http://schemas.openxmlformats.org/officeDocument/2006/relationships/oleObject" Target="../embeddings/oleObject22.bin"/><Relationship Id="rId46" Type="http://schemas.openxmlformats.org/officeDocument/2006/relationships/oleObject" Target="../embeddings/oleObject26.bin"/><Relationship Id="rId59" Type="http://schemas.openxmlformats.org/officeDocument/2006/relationships/image" Target="../media/image32.wmf"/><Relationship Id="rId67" Type="http://schemas.openxmlformats.org/officeDocument/2006/relationships/image" Target="../media/image36.wmf"/><Relationship Id="rId103" Type="http://schemas.openxmlformats.org/officeDocument/2006/relationships/image" Target="../media/image54.wmf"/><Relationship Id="rId108" Type="http://schemas.openxmlformats.org/officeDocument/2006/relationships/oleObject" Target="../embeddings/oleObject57.bin"/><Relationship Id="rId116" Type="http://schemas.openxmlformats.org/officeDocument/2006/relationships/oleObject" Target="../embeddings/oleObject61.bin"/><Relationship Id="rId124" Type="http://schemas.openxmlformats.org/officeDocument/2006/relationships/oleObject" Target="../embeddings/oleObject65.bin"/><Relationship Id="rId129" Type="http://schemas.openxmlformats.org/officeDocument/2006/relationships/image" Target="../media/image67.wmf"/><Relationship Id="rId137" Type="http://schemas.openxmlformats.org/officeDocument/2006/relationships/oleObject" Target="../embeddings/oleObject73.bin"/><Relationship Id="rId20" Type="http://schemas.openxmlformats.org/officeDocument/2006/relationships/oleObject" Target="../embeddings/oleObject13.bin"/><Relationship Id="rId41" Type="http://schemas.openxmlformats.org/officeDocument/2006/relationships/image" Target="../media/image23.wmf"/><Relationship Id="rId54" Type="http://schemas.openxmlformats.org/officeDocument/2006/relationships/oleObject" Target="../embeddings/oleObject30.bin"/><Relationship Id="rId62" Type="http://schemas.openxmlformats.org/officeDocument/2006/relationships/oleObject" Target="../embeddings/oleObject34.bin"/><Relationship Id="rId70" Type="http://schemas.openxmlformats.org/officeDocument/2006/relationships/oleObject" Target="../embeddings/oleObject38.bin"/><Relationship Id="rId75" Type="http://schemas.openxmlformats.org/officeDocument/2006/relationships/image" Target="../media/image40.wmf"/><Relationship Id="rId83" Type="http://schemas.openxmlformats.org/officeDocument/2006/relationships/image" Target="../media/image44.wmf"/><Relationship Id="rId88" Type="http://schemas.openxmlformats.org/officeDocument/2006/relationships/oleObject" Target="../embeddings/oleObject47.bin"/><Relationship Id="rId91" Type="http://schemas.openxmlformats.org/officeDocument/2006/relationships/image" Target="../media/image48.wmf"/><Relationship Id="rId96" Type="http://schemas.openxmlformats.org/officeDocument/2006/relationships/oleObject" Target="../embeddings/oleObject51.bin"/><Relationship Id="rId111" Type="http://schemas.openxmlformats.org/officeDocument/2006/relationships/image" Target="../media/image58.wmf"/><Relationship Id="rId132" Type="http://schemas.openxmlformats.org/officeDocument/2006/relationships/oleObject" Target="../embeddings/oleObject69.bin"/><Relationship Id="rId140" Type="http://schemas.openxmlformats.org/officeDocument/2006/relationships/oleObject" Target="../embeddings/oleObject75.bin"/><Relationship Id="rId145" Type="http://schemas.openxmlformats.org/officeDocument/2006/relationships/image" Target="../media/image72.wmf"/><Relationship Id="rId1" Type="http://schemas.openxmlformats.org/officeDocument/2006/relationships/printerSettings" Target="../printerSettings/printerSettings14.bin"/><Relationship Id="rId6" Type="http://schemas.openxmlformats.org/officeDocument/2006/relationships/oleObject" Target="../embeddings/oleObject6.bin"/><Relationship Id="rId15" Type="http://schemas.openxmlformats.org/officeDocument/2006/relationships/image" Target="../media/image10.wmf"/><Relationship Id="rId23" Type="http://schemas.openxmlformats.org/officeDocument/2006/relationships/image" Target="../media/image14.wmf"/><Relationship Id="rId28" Type="http://schemas.openxmlformats.org/officeDocument/2006/relationships/oleObject" Target="../embeddings/oleObject17.bin"/><Relationship Id="rId36" Type="http://schemas.openxmlformats.org/officeDocument/2006/relationships/oleObject" Target="../embeddings/oleObject21.bin"/><Relationship Id="rId49" Type="http://schemas.openxmlformats.org/officeDocument/2006/relationships/image" Target="../media/image27.wmf"/><Relationship Id="rId57" Type="http://schemas.openxmlformats.org/officeDocument/2006/relationships/image" Target="../media/image31.wmf"/><Relationship Id="rId106" Type="http://schemas.openxmlformats.org/officeDocument/2006/relationships/oleObject" Target="../embeddings/oleObject56.bin"/><Relationship Id="rId114" Type="http://schemas.openxmlformats.org/officeDocument/2006/relationships/oleObject" Target="../embeddings/oleObject60.bin"/><Relationship Id="rId119" Type="http://schemas.openxmlformats.org/officeDocument/2006/relationships/image" Target="../media/image62.wmf"/><Relationship Id="rId127" Type="http://schemas.openxmlformats.org/officeDocument/2006/relationships/image" Target="../media/image66.wmf"/><Relationship Id="rId10" Type="http://schemas.openxmlformats.org/officeDocument/2006/relationships/oleObject" Target="../embeddings/oleObject8.bin"/><Relationship Id="rId31" Type="http://schemas.openxmlformats.org/officeDocument/2006/relationships/image" Target="../media/image18.wmf"/><Relationship Id="rId44" Type="http://schemas.openxmlformats.org/officeDocument/2006/relationships/oleObject" Target="../embeddings/oleObject25.bin"/><Relationship Id="rId52" Type="http://schemas.openxmlformats.org/officeDocument/2006/relationships/oleObject" Target="../embeddings/oleObject29.bin"/><Relationship Id="rId60" Type="http://schemas.openxmlformats.org/officeDocument/2006/relationships/oleObject" Target="../embeddings/oleObject33.bin"/><Relationship Id="rId65" Type="http://schemas.openxmlformats.org/officeDocument/2006/relationships/image" Target="../media/image35.wmf"/><Relationship Id="rId73" Type="http://schemas.openxmlformats.org/officeDocument/2006/relationships/image" Target="../media/image39.wmf"/><Relationship Id="rId78" Type="http://schemas.openxmlformats.org/officeDocument/2006/relationships/oleObject" Target="../embeddings/oleObject42.bin"/><Relationship Id="rId81" Type="http://schemas.openxmlformats.org/officeDocument/2006/relationships/image" Target="../media/image43.wmf"/><Relationship Id="rId86" Type="http://schemas.openxmlformats.org/officeDocument/2006/relationships/oleObject" Target="../embeddings/oleObject46.bin"/><Relationship Id="rId94" Type="http://schemas.openxmlformats.org/officeDocument/2006/relationships/oleObject" Target="../embeddings/oleObject50.bin"/><Relationship Id="rId99" Type="http://schemas.openxmlformats.org/officeDocument/2006/relationships/image" Target="../media/image52.wmf"/><Relationship Id="rId101" Type="http://schemas.openxmlformats.org/officeDocument/2006/relationships/image" Target="../media/image53.wmf"/><Relationship Id="rId122" Type="http://schemas.openxmlformats.org/officeDocument/2006/relationships/oleObject" Target="../embeddings/oleObject64.bin"/><Relationship Id="rId130" Type="http://schemas.openxmlformats.org/officeDocument/2006/relationships/oleObject" Target="../embeddings/oleObject68.bin"/><Relationship Id="rId135" Type="http://schemas.openxmlformats.org/officeDocument/2006/relationships/oleObject" Target="../embeddings/oleObject71.bin"/><Relationship Id="rId143" Type="http://schemas.openxmlformats.org/officeDocument/2006/relationships/oleObject" Target="../embeddings/oleObject77.bin"/><Relationship Id="rId148" Type="http://schemas.openxmlformats.org/officeDocument/2006/relationships/oleObject" Target="../embeddings/oleObject80.bin"/><Relationship Id="rId4" Type="http://schemas.openxmlformats.org/officeDocument/2006/relationships/oleObject" Target="../embeddings/oleObject5.bin"/><Relationship Id="rId9" Type="http://schemas.openxmlformats.org/officeDocument/2006/relationships/image" Target="../media/image7.wmf"/><Relationship Id="rId13" Type="http://schemas.openxmlformats.org/officeDocument/2006/relationships/image" Target="../media/image9.wmf"/><Relationship Id="rId18" Type="http://schemas.openxmlformats.org/officeDocument/2006/relationships/oleObject" Target="../embeddings/oleObject12.bin"/><Relationship Id="rId39" Type="http://schemas.openxmlformats.org/officeDocument/2006/relationships/image" Target="../media/image22.wmf"/><Relationship Id="rId109" Type="http://schemas.openxmlformats.org/officeDocument/2006/relationships/image" Target="../media/image57.wmf"/><Relationship Id="rId34" Type="http://schemas.openxmlformats.org/officeDocument/2006/relationships/oleObject" Target="../embeddings/oleObject20.bin"/><Relationship Id="rId50" Type="http://schemas.openxmlformats.org/officeDocument/2006/relationships/oleObject" Target="../embeddings/oleObject28.bin"/><Relationship Id="rId55" Type="http://schemas.openxmlformats.org/officeDocument/2006/relationships/image" Target="../media/image30.wmf"/><Relationship Id="rId76" Type="http://schemas.openxmlformats.org/officeDocument/2006/relationships/oleObject" Target="../embeddings/oleObject41.bin"/><Relationship Id="rId97" Type="http://schemas.openxmlformats.org/officeDocument/2006/relationships/image" Target="../media/image51.wmf"/><Relationship Id="rId104" Type="http://schemas.openxmlformats.org/officeDocument/2006/relationships/oleObject" Target="../embeddings/oleObject55.bin"/><Relationship Id="rId120" Type="http://schemas.openxmlformats.org/officeDocument/2006/relationships/oleObject" Target="../embeddings/oleObject63.bin"/><Relationship Id="rId125" Type="http://schemas.openxmlformats.org/officeDocument/2006/relationships/image" Target="../media/image65.wmf"/><Relationship Id="rId141" Type="http://schemas.openxmlformats.org/officeDocument/2006/relationships/image" Target="../media/image71.wmf"/><Relationship Id="rId146" Type="http://schemas.openxmlformats.org/officeDocument/2006/relationships/oleObject" Target="../embeddings/oleObject79.bin"/><Relationship Id="rId7" Type="http://schemas.openxmlformats.org/officeDocument/2006/relationships/image" Target="../media/image6.wmf"/><Relationship Id="rId71" Type="http://schemas.openxmlformats.org/officeDocument/2006/relationships/image" Target="../media/image38.wmf"/><Relationship Id="rId92" Type="http://schemas.openxmlformats.org/officeDocument/2006/relationships/oleObject" Target="../embeddings/oleObject49.bin"/><Relationship Id="rId2" Type="http://schemas.openxmlformats.org/officeDocument/2006/relationships/drawing" Target="../drawings/drawing2.xml"/><Relationship Id="rId29" Type="http://schemas.openxmlformats.org/officeDocument/2006/relationships/image" Target="../media/image17.wmf"/><Relationship Id="rId24" Type="http://schemas.openxmlformats.org/officeDocument/2006/relationships/oleObject" Target="../embeddings/oleObject15.bin"/><Relationship Id="rId40" Type="http://schemas.openxmlformats.org/officeDocument/2006/relationships/oleObject" Target="../embeddings/oleObject23.bin"/><Relationship Id="rId45" Type="http://schemas.openxmlformats.org/officeDocument/2006/relationships/image" Target="../media/image25.wmf"/><Relationship Id="rId66" Type="http://schemas.openxmlformats.org/officeDocument/2006/relationships/oleObject" Target="../embeddings/oleObject36.bin"/><Relationship Id="rId87" Type="http://schemas.openxmlformats.org/officeDocument/2006/relationships/image" Target="../media/image46.wmf"/><Relationship Id="rId110" Type="http://schemas.openxmlformats.org/officeDocument/2006/relationships/oleObject" Target="../embeddings/oleObject58.bin"/><Relationship Id="rId115" Type="http://schemas.openxmlformats.org/officeDocument/2006/relationships/image" Target="../media/image60.wmf"/><Relationship Id="rId131" Type="http://schemas.openxmlformats.org/officeDocument/2006/relationships/image" Target="../media/image68.wmf"/><Relationship Id="rId136" Type="http://schemas.openxmlformats.org/officeDocument/2006/relationships/oleObject" Target="../embeddings/oleObject72.bin"/><Relationship Id="rId61" Type="http://schemas.openxmlformats.org/officeDocument/2006/relationships/image" Target="../media/image33.wmf"/><Relationship Id="rId82" Type="http://schemas.openxmlformats.org/officeDocument/2006/relationships/oleObject" Target="../embeddings/oleObject44.bin"/><Relationship Id="rId19" Type="http://schemas.openxmlformats.org/officeDocument/2006/relationships/image" Target="../media/image12.wmf"/><Relationship Id="rId14" Type="http://schemas.openxmlformats.org/officeDocument/2006/relationships/oleObject" Target="../embeddings/oleObject10.bin"/><Relationship Id="rId30" Type="http://schemas.openxmlformats.org/officeDocument/2006/relationships/oleObject" Target="../embeddings/oleObject18.bin"/><Relationship Id="rId35" Type="http://schemas.openxmlformats.org/officeDocument/2006/relationships/image" Target="../media/image20.wmf"/><Relationship Id="rId56" Type="http://schemas.openxmlformats.org/officeDocument/2006/relationships/oleObject" Target="../embeddings/oleObject31.bin"/><Relationship Id="rId77" Type="http://schemas.openxmlformats.org/officeDocument/2006/relationships/image" Target="../media/image41.wmf"/><Relationship Id="rId100" Type="http://schemas.openxmlformats.org/officeDocument/2006/relationships/oleObject" Target="../embeddings/oleObject53.bin"/><Relationship Id="rId105" Type="http://schemas.openxmlformats.org/officeDocument/2006/relationships/image" Target="../media/image55.wmf"/><Relationship Id="rId126" Type="http://schemas.openxmlformats.org/officeDocument/2006/relationships/oleObject" Target="../embeddings/oleObject66.bin"/><Relationship Id="rId147" Type="http://schemas.openxmlformats.org/officeDocument/2006/relationships/image" Target="../media/image73.wmf"/><Relationship Id="rId8" Type="http://schemas.openxmlformats.org/officeDocument/2006/relationships/oleObject" Target="../embeddings/oleObject7.bin"/><Relationship Id="rId51" Type="http://schemas.openxmlformats.org/officeDocument/2006/relationships/image" Target="../media/image28.wmf"/><Relationship Id="rId72" Type="http://schemas.openxmlformats.org/officeDocument/2006/relationships/oleObject" Target="../embeddings/oleObject39.bin"/><Relationship Id="rId93" Type="http://schemas.openxmlformats.org/officeDocument/2006/relationships/image" Target="../media/image49.wmf"/><Relationship Id="rId98" Type="http://schemas.openxmlformats.org/officeDocument/2006/relationships/oleObject" Target="../embeddings/oleObject52.bin"/><Relationship Id="rId121" Type="http://schemas.openxmlformats.org/officeDocument/2006/relationships/image" Target="../media/image63.wmf"/><Relationship Id="rId142" Type="http://schemas.openxmlformats.org/officeDocument/2006/relationships/oleObject" Target="../embeddings/oleObject7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I4" sqref="I4"/>
    </sheetView>
  </sheetViews>
  <sheetFormatPr defaultRowHeight="15" x14ac:dyDescent="0.25"/>
  <cols>
    <col min="1" max="1" width="24.28515625" customWidth="1"/>
    <col min="2" max="2" width="16.42578125" customWidth="1"/>
    <col min="3" max="3" width="26.140625" customWidth="1"/>
  </cols>
  <sheetData>
    <row r="1" spans="1:3" ht="46.5" customHeight="1" x14ac:dyDescent="0.25">
      <c r="A1" s="789" t="s">
        <v>754</v>
      </c>
      <c r="B1" s="790"/>
      <c r="C1" s="790"/>
    </row>
    <row r="3" spans="1:3" ht="54.75" customHeight="1" x14ac:dyDescent="0.25">
      <c r="A3" s="791" t="s">
        <v>736</v>
      </c>
      <c r="B3" s="791" t="s">
        <v>827</v>
      </c>
      <c r="C3" s="576" t="s">
        <v>751</v>
      </c>
    </row>
    <row r="4" spans="1:3" ht="18" customHeight="1" x14ac:dyDescent="0.25">
      <c r="A4" s="792"/>
      <c r="B4" s="792"/>
      <c r="C4" s="73" t="s">
        <v>668</v>
      </c>
    </row>
    <row r="5" spans="1:3" ht="66" customHeight="1" x14ac:dyDescent="0.25">
      <c r="A5" s="727" t="s">
        <v>738</v>
      </c>
      <c r="B5" s="725">
        <f>35000*5</f>
        <v>175000</v>
      </c>
      <c r="C5" s="726">
        <f>B5</f>
        <v>175000</v>
      </c>
    </row>
    <row r="6" spans="1:3" ht="77.25" customHeight="1" x14ac:dyDescent="0.25">
      <c r="A6" s="727" t="s">
        <v>739</v>
      </c>
      <c r="B6" s="725">
        <f>5*500</f>
        <v>2500</v>
      </c>
      <c r="C6" s="726">
        <v>0</v>
      </c>
    </row>
    <row r="7" spans="1:3" ht="18" customHeight="1" x14ac:dyDescent="0.25">
      <c r="A7" s="524" t="s">
        <v>828</v>
      </c>
      <c r="B7" s="717">
        <f>B5+B6</f>
        <v>177500</v>
      </c>
      <c r="C7" s="715">
        <f>C5+C6</f>
        <v>175000</v>
      </c>
    </row>
    <row r="11" spans="1:3" x14ac:dyDescent="0.25">
      <c r="A11" s="64" t="s">
        <v>824</v>
      </c>
      <c r="C11" s="509" t="s">
        <v>825</v>
      </c>
    </row>
    <row r="12" spans="1:3" x14ac:dyDescent="0.25">
      <c r="A12" s="68"/>
      <c r="C12" s="68"/>
    </row>
    <row r="13" spans="1:3" x14ac:dyDescent="0.25">
      <c r="A13" s="64" t="s">
        <v>99</v>
      </c>
      <c r="C13" s="64" t="s">
        <v>897</v>
      </c>
    </row>
  </sheetData>
  <mergeCells count="3">
    <mergeCell ref="A1:C1"/>
    <mergeCell ref="A3:A4"/>
    <mergeCell ref="B3:B4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opLeftCell="A10" workbookViewId="0">
      <selection sqref="A1:C15"/>
    </sheetView>
  </sheetViews>
  <sheetFormatPr defaultRowHeight="15" x14ac:dyDescent="0.25"/>
  <cols>
    <col min="1" max="1" width="23.85546875" style="95" customWidth="1"/>
    <col min="2" max="2" width="12.28515625" style="95" customWidth="1"/>
    <col min="3" max="3" width="26.42578125" style="95" customWidth="1"/>
    <col min="4" max="4" width="9" style="95" customWidth="1"/>
  </cols>
  <sheetData>
    <row r="1" spans="1:3" ht="54.75" customHeight="1" x14ac:dyDescent="0.25">
      <c r="A1" s="789" t="s">
        <v>758</v>
      </c>
      <c r="B1" s="802"/>
      <c r="C1" s="802"/>
    </row>
    <row r="4" spans="1:3" ht="57" customHeight="1" x14ac:dyDescent="0.25">
      <c r="A4" s="793" t="s">
        <v>736</v>
      </c>
      <c r="B4" s="791" t="s">
        <v>731</v>
      </c>
      <c r="C4" s="576" t="s">
        <v>751</v>
      </c>
    </row>
    <row r="5" spans="1:3" x14ac:dyDescent="0.25">
      <c r="A5" s="803"/>
      <c r="B5" s="792"/>
      <c r="C5" s="73" t="s">
        <v>668</v>
      </c>
    </row>
    <row r="6" spans="1:3" x14ac:dyDescent="0.25">
      <c r="A6" s="794"/>
      <c r="B6" s="73">
        <v>401924</v>
      </c>
      <c r="C6" s="73">
        <v>401924</v>
      </c>
    </row>
    <row r="7" spans="1:3" ht="39" customHeight="1" x14ac:dyDescent="0.25">
      <c r="A7" s="659" t="s">
        <v>752</v>
      </c>
      <c r="B7" s="720">
        <f>C7</f>
        <v>844428</v>
      </c>
      <c r="C7" s="721">
        <f>844428</f>
        <v>844428</v>
      </c>
    </row>
    <row r="8" spans="1:3" ht="23.25" customHeight="1" x14ac:dyDescent="0.25">
      <c r="A8" s="724" t="s">
        <v>828</v>
      </c>
      <c r="B8" s="715">
        <f>B7</f>
        <v>844428</v>
      </c>
      <c r="C8" s="715">
        <f>C7</f>
        <v>844428</v>
      </c>
    </row>
    <row r="9" spans="1:3" ht="15" customHeight="1" x14ac:dyDescent="0.25">
      <c r="C9" s="189"/>
    </row>
    <row r="10" spans="1:3" ht="15" customHeight="1" x14ac:dyDescent="0.25">
      <c r="C10" s="189"/>
    </row>
    <row r="12" spans="1:3" x14ac:dyDescent="0.25">
      <c r="A12" s="197" t="s">
        <v>824</v>
      </c>
      <c r="C12" s="601" t="s">
        <v>825</v>
      </c>
    </row>
    <row r="13" spans="1:3" x14ac:dyDescent="0.25">
      <c r="A13" s="197"/>
      <c r="C13" s="197"/>
    </row>
    <row r="14" spans="1:3" x14ac:dyDescent="0.25">
      <c r="A14" s="197" t="s">
        <v>99</v>
      </c>
      <c r="C14" s="197" t="s">
        <v>897</v>
      </c>
    </row>
    <row r="15" spans="1:3" x14ac:dyDescent="0.25">
      <c r="C15" s="629"/>
    </row>
  </sheetData>
  <mergeCells count="3">
    <mergeCell ref="A1:C1"/>
    <mergeCell ref="B4:B5"/>
    <mergeCell ref="A4:A6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sqref="A1:C16"/>
    </sheetView>
  </sheetViews>
  <sheetFormatPr defaultRowHeight="15" x14ac:dyDescent="0.25"/>
  <cols>
    <col min="1" max="1" width="25.7109375" style="3" customWidth="1"/>
    <col min="2" max="2" width="20.42578125" style="3" customWidth="1"/>
    <col min="3" max="3" width="26.42578125" style="3" customWidth="1"/>
  </cols>
  <sheetData>
    <row r="1" spans="1:3" ht="62.25" customHeight="1" x14ac:dyDescent="0.25">
      <c r="A1" s="789" t="s">
        <v>257</v>
      </c>
      <c r="B1" s="802"/>
      <c r="C1" s="802"/>
    </row>
    <row r="4" spans="1:3" ht="57" customHeight="1" x14ac:dyDescent="0.25">
      <c r="A4" s="793" t="s">
        <v>736</v>
      </c>
      <c r="B4" s="791" t="s">
        <v>731</v>
      </c>
      <c r="C4" s="576" t="s">
        <v>751</v>
      </c>
    </row>
    <row r="5" spans="1:3" x14ac:dyDescent="0.25">
      <c r="A5" s="803"/>
      <c r="B5" s="792"/>
      <c r="C5" s="73" t="s">
        <v>668</v>
      </c>
    </row>
    <row r="6" spans="1:3" x14ac:dyDescent="0.25">
      <c r="A6" s="794"/>
      <c r="B6" s="73">
        <v>401924</v>
      </c>
      <c r="C6" s="73">
        <v>401924</v>
      </c>
    </row>
    <row r="7" spans="1:3" ht="39" customHeight="1" x14ac:dyDescent="0.25">
      <c r="A7" s="659" t="s">
        <v>752</v>
      </c>
      <c r="B7" s="721">
        <f>764190</f>
        <v>764190</v>
      </c>
      <c r="C7" s="721">
        <f>844428</f>
        <v>844428</v>
      </c>
    </row>
    <row r="8" spans="1:3" ht="23.25" customHeight="1" x14ac:dyDescent="0.25">
      <c r="A8" s="524" t="s">
        <v>828</v>
      </c>
      <c r="B8" s="720">
        <f>B7</f>
        <v>764190</v>
      </c>
      <c r="C8" s="720">
        <f>C7</f>
        <v>844428</v>
      </c>
    </row>
    <row r="9" spans="1:3" ht="15" customHeight="1" x14ac:dyDescent="0.25">
      <c r="A9" s="95"/>
      <c r="B9" s="95"/>
      <c r="C9" s="189"/>
    </row>
    <row r="10" spans="1:3" ht="15" customHeight="1" x14ac:dyDescent="0.25">
      <c r="A10" s="95"/>
      <c r="B10" s="95"/>
      <c r="C10" s="189"/>
    </row>
    <row r="11" spans="1:3" ht="24" customHeight="1" x14ac:dyDescent="0.25">
      <c r="A11" s="576" t="s">
        <v>249</v>
      </c>
      <c r="B11" s="715" t="s">
        <v>256</v>
      </c>
      <c r="C11" s="593">
        <f>C8-B8</f>
        <v>80238</v>
      </c>
    </row>
    <row r="12" spans="1:3" ht="15" customHeight="1" x14ac:dyDescent="0.25">
      <c r="A12" s="663"/>
      <c r="B12" s="663"/>
      <c r="C12" s="722"/>
    </row>
    <row r="13" spans="1:3" ht="15" customHeight="1" x14ac:dyDescent="0.25">
      <c r="A13" s="663"/>
      <c r="B13" s="663"/>
      <c r="C13" s="722"/>
    </row>
    <row r="14" spans="1:3" x14ac:dyDescent="0.25">
      <c r="A14" s="64" t="s">
        <v>824</v>
      </c>
      <c r="B14" s="663"/>
      <c r="C14" s="509" t="s">
        <v>825</v>
      </c>
    </row>
    <row r="15" spans="1:3" x14ac:dyDescent="0.25">
      <c r="A15" s="723"/>
      <c r="B15" s="663"/>
      <c r="C15" s="723"/>
    </row>
    <row r="16" spans="1:3" x14ac:dyDescent="0.25">
      <c r="A16" s="64" t="s">
        <v>99</v>
      </c>
      <c r="B16" s="663"/>
      <c r="C16" s="64" t="s">
        <v>897</v>
      </c>
    </row>
    <row r="17" spans="3:3" x14ac:dyDescent="0.25">
      <c r="C17" s="633"/>
    </row>
  </sheetData>
  <mergeCells count="3">
    <mergeCell ref="A1:C1"/>
    <mergeCell ref="B4:B5"/>
    <mergeCell ref="A4:A6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topLeftCell="A22" workbookViewId="0">
      <selection activeCell="I14" sqref="I14"/>
    </sheetView>
  </sheetViews>
  <sheetFormatPr defaultRowHeight="15" x14ac:dyDescent="0.25"/>
  <cols>
    <col min="1" max="1" width="15.42578125" style="3" customWidth="1"/>
    <col min="2" max="15" width="9" style="3" customWidth="1"/>
  </cols>
  <sheetData>
    <row r="1" spans="1:9" x14ac:dyDescent="0.25">
      <c r="G1" s="806" t="s">
        <v>648</v>
      </c>
      <c r="H1" s="806"/>
      <c r="I1" s="806"/>
    </row>
    <row r="2" spans="1:9" ht="26.25" customHeight="1" x14ac:dyDescent="0.25">
      <c r="A2" s="804" t="s">
        <v>646</v>
      </c>
      <c r="B2" s="804"/>
      <c r="C2" s="804"/>
      <c r="D2" s="804"/>
      <c r="E2" s="804"/>
      <c r="F2" s="804"/>
      <c r="G2" s="804"/>
      <c r="H2" s="804"/>
      <c r="I2" s="804"/>
    </row>
    <row r="6" spans="1:9" x14ac:dyDescent="0.25">
      <c r="B6" s="9" t="s">
        <v>915</v>
      </c>
    </row>
    <row r="8" spans="1:9" x14ac:dyDescent="0.25">
      <c r="A8" s="45"/>
      <c r="B8" s="52" t="s">
        <v>918</v>
      </c>
      <c r="C8" s="36">
        <f>D21</f>
        <v>27075.599999999999</v>
      </c>
    </row>
    <row r="10" spans="1:9" x14ac:dyDescent="0.25">
      <c r="A10" s="9" t="s">
        <v>568</v>
      </c>
      <c r="B10" s="3" t="s">
        <v>916</v>
      </c>
    </row>
    <row r="12" spans="1:9" x14ac:dyDescent="0.25">
      <c r="B12" s="9" t="s">
        <v>917</v>
      </c>
    </row>
    <row r="14" spans="1:9" x14ac:dyDescent="0.25">
      <c r="B14" s="3" t="s">
        <v>641</v>
      </c>
      <c r="G14" s="35"/>
      <c r="H14" s="11" t="s">
        <v>920</v>
      </c>
      <c r="I14" s="35">
        <f>752.1*150%</f>
        <v>1128.1500000000001</v>
      </c>
    </row>
    <row r="15" spans="1:9" x14ac:dyDescent="0.25">
      <c r="H15" s="11"/>
      <c r="I15" s="9"/>
    </row>
    <row r="16" spans="1:9" x14ac:dyDescent="0.25">
      <c r="B16" s="3" t="s">
        <v>642</v>
      </c>
      <c r="H16" s="11" t="s">
        <v>920</v>
      </c>
      <c r="I16" s="9">
        <v>12</v>
      </c>
    </row>
    <row r="17" spans="1:9" x14ac:dyDescent="0.25">
      <c r="H17" s="11"/>
      <c r="I17" s="9"/>
    </row>
    <row r="18" spans="1:9" x14ac:dyDescent="0.25">
      <c r="B18" s="3" t="s">
        <v>643</v>
      </c>
      <c r="H18" s="11" t="s">
        <v>920</v>
      </c>
      <c r="I18" s="9">
        <f>C37</f>
        <v>2</v>
      </c>
    </row>
    <row r="21" spans="1:9" x14ac:dyDescent="0.25">
      <c r="B21" s="36" t="s">
        <v>919</v>
      </c>
      <c r="C21" s="53"/>
      <c r="D21" s="36">
        <f>I14*I16*I18</f>
        <v>27075.599999999999</v>
      </c>
    </row>
    <row r="23" spans="1:9" x14ac:dyDescent="0.25">
      <c r="A23" s="9" t="s">
        <v>644</v>
      </c>
      <c r="B23" s="3" t="s">
        <v>921</v>
      </c>
      <c r="I23" s="53"/>
    </row>
    <row r="24" spans="1:9" x14ac:dyDescent="0.25">
      <c r="B24" s="807" t="s">
        <v>666</v>
      </c>
      <c r="C24" s="807"/>
      <c r="D24" s="807"/>
      <c r="E24" s="807"/>
      <c r="F24" s="807"/>
      <c r="G24" s="807"/>
    </row>
    <row r="26" spans="1:9" x14ac:dyDescent="0.25">
      <c r="B26" s="3" t="s">
        <v>922</v>
      </c>
    </row>
    <row r="28" spans="1:9" x14ac:dyDescent="0.25">
      <c r="B28" s="9"/>
      <c r="C28" s="55" t="s">
        <v>645</v>
      </c>
    </row>
    <row r="29" spans="1:9" x14ac:dyDescent="0.25">
      <c r="B29" s="9" t="s">
        <v>923</v>
      </c>
      <c r="C29" s="54">
        <v>3</v>
      </c>
    </row>
    <row r="31" spans="1:9" ht="27.75" customHeight="1" x14ac:dyDescent="0.25">
      <c r="B31" s="3" t="s">
        <v>924</v>
      </c>
      <c r="C31" s="805" t="s">
        <v>647</v>
      </c>
      <c r="D31" s="805"/>
      <c r="E31" s="805"/>
      <c r="F31" s="805"/>
      <c r="G31" s="805"/>
      <c r="I31" s="9">
        <f>2</f>
        <v>2</v>
      </c>
    </row>
    <row r="32" spans="1:9" x14ac:dyDescent="0.25">
      <c r="I32" s="9"/>
    </row>
    <row r="33" spans="2:9" x14ac:dyDescent="0.25">
      <c r="I33" s="9"/>
    </row>
    <row r="34" spans="2:9" ht="24.75" customHeight="1" x14ac:dyDescent="0.25">
      <c r="B34" s="3" t="s">
        <v>925</v>
      </c>
      <c r="C34" s="805" t="s">
        <v>647</v>
      </c>
      <c r="D34" s="805"/>
      <c r="E34" s="805"/>
      <c r="F34" s="805"/>
      <c r="G34" s="805"/>
      <c r="I34" s="9">
        <f>2</f>
        <v>2</v>
      </c>
    </row>
    <row r="37" spans="2:9" x14ac:dyDescent="0.25">
      <c r="B37" s="36" t="s">
        <v>926</v>
      </c>
      <c r="C37" s="36">
        <f>(2*I31+I34)/3</f>
        <v>2</v>
      </c>
    </row>
  </sheetData>
  <mergeCells count="5">
    <mergeCell ref="A2:I2"/>
    <mergeCell ref="C31:G31"/>
    <mergeCell ref="C34:G34"/>
    <mergeCell ref="G1:I1"/>
    <mergeCell ref="B24:G24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67"/>
  <sheetViews>
    <sheetView topLeftCell="A55" workbookViewId="0">
      <selection activeCell="I50" sqref="I50"/>
    </sheetView>
  </sheetViews>
  <sheetFormatPr defaultRowHeight="15" x14ac:dyDescent="0.25"/>
  <cols>
    <col min="1" max="1" width="3.5703125" style="3" customWidth="1"/>
    <col min="2" max="2" width="24.42578125" style="3" customWidth="1"/>
    <col min="3" max="3" width="10.5703125" style="3" bestFit="1" customWidth="1"/>
    <col min="4" max="7" width="9" style="3" customWidth="1"/>
    <col min="8" max="8" width="10.140625" style="3" customWidth="1"/>
    <col min="9" max="12" width="9" style="3" customWidth="1"/>
    <col min="16" max="16" width="9.5703125" bestFit="1" customWidth="1"/>
  </cols>
  <sheetData>
    <row r="1" spans="1:16" x14ac:dyDescent="0.25">
      <c r="G1" s="806" t="s">
        <v>665</v>
      </c>
      <c r="H1" s="806"/>
      <c r="I1" s="806"/>
    </row>
    <row r="2" spans="1:16" ht="27.75" customHeight="1" x14ac:dyDescent="0.25">
      <c r="A2" s="804" t="s">
        <v>929</v>
      </c>
      <c r="B2" s="804"/>
      <c r="C2" s="804"/>
      <c r="D2" s="804"/>
      <c r="E2" s="804"/>
      <c r="F2" s="804"/>
      <c r="G2" s="804"/>
      <c r="H2" s="804"/>
    </row>
    <row r="4" spans="1:16" x14ac:dyDescent="0.25">
      <c r="B4" s="9"/>
      <c r="C4" s="9"/>
      <c r="D4" s="9"/>
      <c r="E4" s="9"/>
      <c r="F4" s="9"/>
      <c r="G4" s="9"/>
    </row>
    <row r="5" spans="1:16" x14ac:dyDescent="0.25">
      <c r="B5" s="9"/>
      <c r="C5" s="9"/>
      <c r="D5" s="9"/>
      <c r="E5" s="9"/>
      <c r="F5" s="9"/>
      <c r="G5" s="9"/>
    </row>
    <row r="6" spans="1:16" x14ac:dyDescent="0.25">
      <c r="B6" s="9"/>
      <c r="C6" s="9"/>
      <c r="D6" s="9"/>
      <c r="E6" s="9"/>
      <c r="F6" s="9"/>
      <c r="G6" s="9"/>
    </row>
    <row r="7" spans="1:16" ht="51" customHeight="1" x14ac:dyDescent="0.25">
      <c r="B7" s="44" t="s">
        <v>927</v>
      </c>
      <c r="C7" s="808" t="s">
        <v>936</v>
      </c>
      <c r="D7" s="808"/>
      <c r="E7" s="808"/>
      <c r="F7" s="808"/>
      <c r="G7" s="808"/>
      <c r="H7" s="59"/>
      <c r="I7" s="59"/>
      <c r="J7" s="59"/>
      <c r="K7" s="59"/>
      <c r="L7" s="59"/>
      <c r="M7" s="59"/>
      <c r="N7" s="59"/>
      <c r="O7" s="59"/>
    </row>
    <row r="8" spans="1:16" x14ac:dyDescent="0.25">
      <c r="B8" s="21"/>
    </row>
    <row r="9" spans="1:16" ht="65.25" customHeight="1" x14ac:dyDescent="0.25">
      <c r="B9" s="44" t="s">
        <v>649</v>
      </c>
      <c r="C9" s="808" t="s">
        <v>932</v>
      </c>
      <c r="D9" s="808"/>
      <c r="E9" s="808"/>
      <c r="F9" s="808"/>
      <c r="G9" s="808"/>
      <c r="H9" s="26">
        <f>C57</f>
        <v>106580.65</v>
      </c>
      <c r="I9" s="59"/>
      <c r="J9" s="59"/>
      <c r="K9" s="59"/>
      <c r="L9" s="59"/>
      <c r="M9" s="59"/>
      <c r="N9" s="59"/>
      <c r="O9" s="59"/>
    </row>
    <row r="10" spans="1:16" x14ac:dyDescent="0.25">
      <c r="B10" s="4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1"/>
    </row>
    <row r="11" spans="1:16" ht="66" customHeight="1" x14ac:dyDescent="0.25">
      <c r="B11" s="44" t="s">
        <v>650</v>
      </c>
      <c r="C11" s="808" t="s">
        <v>931</v>
      </c>
      <c r="D11" s="808"/>
      <c r="E11" s="808"/>
      <c r="F11" s="808"/>
      <c r="G11" s="808"/>
      <c r="H11" s="37">
        <f>C32</f>
        <v>17</v>
      </c>
      <c r="I11" s="59"/>
      <c r="J11" s="59"/>
      <c r="K11" s="59"/>
      <c r="L11" s="59"/>
      <c r="M11" s="59"/>
      <c r="N11" s="59"/>
      <c r="O11" s="59"/>
    </row>
    <row r="12" spans="1:16" x14ac:dyDescent="0.25">
      <c r="B12" s="44"/>
      <c r="C12" s="5"/>
      <c r="D12" s="5"/>
      <c r="E12" s="5"/>
      <c r="F12" s="5"/>
      <c r="G12" s="5"/>
      <c r="H12" s="9"/>
      <c r="I12" s="5"/>
      <c r="J12" s="5"/>
      <c r="K12" s="5"/>
      <c r="L12" s="5"/>
      <c r="M12" s="5"/>
      <c r="N12" s="5"/>
      <c r="O12" s="5"/>
    </row>
    <row r="13" spans="1:16" ht="63.75" customHeight="1" x14ac:dyDescent="0.25">
      <c r="B13" s="44" t="s">
        <v>651</v>
      </c>
      <c r="C13" s="808" t="s">
        <v>933</v>
      </c>
      <c r="D13" s="808"/>
      <c r="E13" s="808"/>
      <c r="F13" s="808"/>
      <c r="G13" s="808"/>
      <c r="H13" s="26">
        <f>C67</f>
        <v>22177.8</v>
      </c>
      <c r="I13" s="59"/>
      <c r="J13" s="59"/>
      <c r="K13" s="59"/>
      <c r="L13" s="59"/>
      <c r="M13" s="59"/>
      <c r="N13" s="59"/>
      <c r="O13" s="59"/>
    </row>
    <row r="14" spans="1:16" x14ac:dyDescent="0.25">
      <c r="B14" s="21"/>
      <c r="C14" s="5"/>
      <c r="D14" s="5"/>
      <c r="E14" s="5"/>
      <c r="F14" s="5"/>
      <c r="G14" s="5"/>
      <c r="H14" s="9"/>
      <c r="I14" s="5"/>
      <c r="J14" s="5"/>
      <c r="K14" s="5"/>
      <c r="L14" s="5"/>
      <c r="M14" s="4"/>
      <c r="N14" s="4"/>
      <c r="O14" s="4"/>
    </row>
    <row r="15" spans="1:16" ht="64.5" customHeight="1" x14ac:dyDescent="0.25">
      <c r="B15" s="44" t="s">
        <v>652</v>
      </c>
      <c r="C15" s="808" t="s">
        <v>934</v>
      </c>
      <c r="D15" s="808"/>
      <c r="E15" s="808"/>
      <c r="F15" s="808"/>
      <c r="G15" s="808"/>
      <c r="H15" s="36">
        <f>D32</f>
        <v>6</v>
      </c>
      <c r="I15" s="59"/>
      <c r="J15" s="59"/>
      <c r="K15" s="59"/>
      <c r="L15" s="59"/>
      <c r="M15" s="59"/>
      <c r="N15" s="59"/>
      <c r="O15" s="59"/>
    </row>
    <row r="16" spans="1:16" x14ac:dyDescent="0.25">
      <c r="B16" s="21"/>
      <c r="H16" s="9"/>
    </row>
    <row r="17" spans="2:15" ht="39" customHeight="1" x14ac:dyDescent="0.25">
      <c r="B17" s="44" t="s">
        <v>653</v>
      </c>
      <c r="C17" s="808" t="s">
        <v>935</v>
      </c>
      <c r="D17" s="808"/>
      <c r="E17" s="808"/>
      <c r="F17" s="808"/>
      <c r="G17" s="808"/>
      <c r="H17" s="26">
        <f>5*35000</f>
        <v>175000</v>
      </c>
      <c r="I17" s="59"/>
      <c r="J17" s="59"/>
      <c r="K17" s="59"/>
      <c r="L17" s="59"/>
      <c r="M17" s="59"/>
      <c r="N17" s="59"/>
      <c r="O17" s="59"/>
    </row>
    <row r="18" spans="2:15" ht="39" customHeight="1" x14ac:dyDescent="0.25">
      <c r="B18" s="9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2:15" ht="15" customHeight="1" x14ac:dyDescent="0.25">
      <c r="B19" s="61" t="s">
        <v>918</v>
      </c>
      <c r="C19" s="34">
        <f>(H9*H11+H13*H15)+H17</f>
        <v>2119937.85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2:15" ht="13.5" customHeight="1" x14ac:dyDescent="0.25">
      <c r="B20" s="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3" spans="2:15" x14ac:dyDescent="0.25">
      <c r="E23" s="3" t="s">
        <v>35</v>
      </c>
    </row>
    <row r="26" spans="2:15" ht="24.75" customHeight="1" x14ac:dyDescent="0.25">
      <c r="B26" s="45" t="s">
        <v>1</v>
      </c>
      <c r="C26" s="809" t="s">
        <v>938</v>
      </c>
      <c r="D26" s="809"/>
      <c r="E26" s="809"/>
      <c r="F26" s="809"/>
      <c r="G26" s="809"/>
      <c r="H26" s="63">
        <v>19</v>
      </c>
      <c r="I26" s="63">
        <v>6</v>
      </c>
      <c r="J26" s="6"/>
      <c r="M26" s="6"/>
      <c r="N26" s="6"/>
      <c r="O26" s="6"/>
    </row>
    <row r="27" spans="2:15" x14ac:dyDescent="0.25">
      <c r="B27" s="45"/>
      <c r="H27" s="36"/>
      <c r="I27" s="36"/>
      <c r="M27" s="3"/>
      <c r="N27" s="3"/>
      <c r="O27" s="3"/>
    </row>
    <row r="28" spans="2:15" x14ac:dyDescent="0.25">
      <c r="B28" s="45"/>
      <c r="H28" s="36"/>
      <c r="I28" s="36"/>
      <c r="M28" s="3"/>
      <c r="N28" s="3"/>
      <c r="O28" s="3"/>
    </row>
    <row r="29" spans="2:15" ht="26.25" customHeight="1" x14ac:dyDescent="0.25">
      <c r="B29" s="45" t="s">
        <v>2</v>
      </c>
      <c r="C29" s="809" t="s">
        <v>0</v>
      </c>
      <c r="D29" s="809"/>
      <c r="E29" s="809"/>
      <c r="F29" s="809"/>
      <c r="G29" s="809"/>
      <c r="H29" s="63">
        <f>19-5</f>
        <v>14</v>
      </c>
      <c r="I29" s="63">
        <v>6</v>
      </c>
      <c r="J29" s="6"/>
      <c r="M29" s="6"/>
      <c r="N29" s="6"/>
      <c r="O29" s="3"/>
    </row>
    <row r="32" spans="2:15" x14ac:dyDescent="0.25">
      <c r="B32" s="61" t="s">
        <v>3</v>
      </c>
      <c r="C32" s="37">
        <f>(2*H26+H29)/3</f>
        <v>17</v>
      </c>
      <c r="D32" s="36">
        <f>(2*I26+I29)/3</f>
        <v>6</v>
      </c>
    </row>
    <row r="33" spans="1:13" s="68" customFormat="1" x14ac:dyDescent="0.25">
      <c r="A33" s="64"/>
      <c r="B33" s="65"/>
      <c r="C33" s="66"/>
      <c r="D33" s="67"/>
      <c r="E33" s="64"/>
      <c r="F33" s="64"/>
      <c r="G33" s="64"/>
      <c r="H33" s="64"/>
      <c r="I33" s="64"/>
      <c r="J33" s="64"/>
      <c r="K33" s="64"/>
      <c r="L33" s="64"/>
    </row>
    <row r="34" spans="1:13" s="68" customFormat="1" x14ac:dyDescent="0.25">
      <c r="A34" s="64"/>
      <c r="B34" s="65"/>
      <c r="C34" s="66"/>
      <c r="D34" s="67"/>
      <c r="E34" s="64"/>
      <c r="F34" s="64"/>
      <c r="G34" s="64"/>
      <c r="H34" s="64"/>
      <c r="I34" s="64"/>
      <c r="J34" s="64"/>
      <c r="K34" s="64"/>
      <c r="L34" s="64"/>
    </row>
    <row r="35" spans="1:13" s="68" customFormat="1" x14ac:dyDescent="0.25">
      <c r="A35" s="64"/>
      <c r="B35" s="65"/>
      <c r="C35" s="66"/>
      <c r="D35" s="67"/>
      <c r="E35" s="64"/>
      <c r="F35" s="64"/>
      <c r="G35" s="64"/>
      <c r="H35" s="64"/>
      <c r="I35" s="64"/>
      <c r="J35" s="64"/>
      <c r="K35" s="64"/>
      <c r="L35" s="64"/>
    </row>
    <row r="36" spans="1:13" s="68" customFormat="1" x14ac:dyDescent="0.25">
      <c r="A36" s="64"/>
      <c r="B36" s="65"/>
      <c r="C36" s="66"/>
      <c r="D36" s="67"/>
      <c r="E36" s="64"/>
      <c r="F36" s="64"/>
      <c r="G36" s="64"/>
      <c r="H36" s="64"/>
      <c r="I36" s="64"/>
      <c r="J36" s="64"/>
      <c r="K36" s="64"/>
      <c r="L36" s="64"/>
    </row>
    <row r="39" spans="1:13" ht="42.2" customHeight="1" x14ac:dyDescent="0.25">
      <c r="B39" s="804" t="s">
        <v>27</v>
      </c>
      <c r="C39" s="804"/>
      <c r="D39" s="804"/>
      <c r="E39" s="804"/>
      <c r="F39" s="804"/>
      <c r="G39" s="804"/>
      <c r="H39" s="804"/>
      <c r="I39" s="804"/>
      <c r="J39" s="62"/>
      <c r="K39" s="62"/>
      <c r="L39" s="62"/>
      <c r="M39" s="62"/>
    </row>
    <row r="44" spans="1:13" x14ac:dyDescent="0.25">
      <c r="B44" s="9" t="s">
        <v>654</v>
      </c>
      <c r="C44" s="3" t="s">
        <v>928</v>
      </c>
      <c r="I44" s="26">
        <v>140.09</v>
      </c>
    </row>
    <row r="45" spans="1:13" x14ac:dyDescent="0.25">
      <c r="B45" s="9"/>
      <c r="I45" s="35"/>
    </row>
    <row r="46" spans="1:13" x14ac:dyDescent="0.25">
      <c r="B46" s="9" t="s">
        <v>655</v>
      </c>
      <c r="C46" s="3" t="s">
        <v>28</v>
      </c>
      <c r="I46" s="26">
        <v>30000</v>
      </c>
    </row>
    <row r="47" spans="1:13" x14ac:dyDescent="0.25">
      <c r="B47" s="9"/>
      <c r="I47" s="35"/>
    </row>
    <row r="48" spans="1:13" x14ac:dyDescent="0.25">
      <c r="B48" s="9" t="s">
        <v>656</v>
      </c>
      <c r="C48" s="3" t="s">
        <v>29</v>
      </c>
      <c r="I48" s="26">
        <f>40*18*12</f>
        <v>8640</v>
      </c>
    </row>
    <row r="49" spans="2:13" x14ac:dyDescent="0.25">
      <c r="B49" s="9"/>
      <c r="I49" s="35"/>
    </row>
    <row r="50" spans="2:13" x14ac:dyDescent="0.25">
      <c r="B50" s="9" t="s">
        <v>657</v>
      </c>
      <c r="C50" s="3" t="s">
        <v>30</v>
      </c>
      <c r="I50" s="26">
        <f>752.1*150%</f>
        <v>1128.1500000000001</v>
      </c>
    </row>
    <row r="51" spans="2:13" x14ac:dyDescent="0.25">
      <c r="B51" s="9"/>
    </row>
    <row r="52" spans="2:13" ht="36.75" customHeight="1" x14ac:dyDescent="0.25">
      <c r="B52" s="9" t="s">
        <v>658</v>
      </c>
      <c r="C52" s="810" t="s">
        <v>31</v>
      </c>
      <c r="D52" s="810"/>
      <c r="E52" s="810"/>
      <c r="F52" s="810"/>
      <c r="G52" s="810"/>
      <c r="H52" s="810"/>
      <c r="I52" s="26">
        <f>654*3</f>
        <v>1962</v>
      </c>
    </row>
    <row r="54" spans="2:13" ht="24.75" customHeight="1" x14ac:dyDescent="0.25">
      <c r="B54" s="9" t="s">
        <v>659</v>
      </c>
      <c r="C54" s="810" t="s">
        <v>32</v>
      </c>
      <c r="D54" s="810"/>
      <c r="E54" s="810"/>
      <c r="F54" s="810"/>
      <c r="G54" s="810"/>
      <c r="H54" s="810"/>
      <c r="I54" s="26">
        <f>654*2</f>
        <v>1308</v>
      </c>
    </row>
    <row r="56" spans="2:13" x14ac:dyDescent="0.25">
      <c r="B56" s="9"/>
    </row>
    <row r="57" spans="2:13" x14ac:dyDescent="0.25">
      <c r="B57" s="36" t="s">
        <v>33</v>
      </c>
      <c r="C57" s="26">
        <f>I44*365+I46+I48+I50*12+I52+I54</f>
        <v>106580.65</v>
      </c>
    </row>
    <row r="59" spans="2:13" ht="36.75" customHeight="1" x14ac:dyDescent="0.25">
      <c r="B59" s="804" t="s">
        <v>34</v>
      </c>
      <c r="C59" s="804"/>
      <c r="D59" s="804"/>
      <c r="E59" s="804"/>
      <c r="F59" s="804"/>
      <c r="G59" s="804"/>
      <c r="H59" s="804"/>
      <c r="I59" s="804"/>
      <c r="J59" s="62"/>
      <c r="K59" s="62"/>
      <c r="L59" s="62"/>
      <c r="M59" s="60"/>
    </row>
    <row r="61" spans="2:13" x14ac:dyDescent="0.25">
      <c r="B61" s="9" t="s">
        <v>661</v>
      </c>
      <c r="C61" s="9" t="s">
        <v>660</v>
      </c>
      <c r="D61" s="9"/>
      <c r="E61" s="9"/>
      <c r="F61" s="9"/>
      <c r="H61" s="3" t="s">
        <v>35</v>
      </c>
    </row>
    <row r="63" spans="2:13" x14ac:dyDescent="0.25">
      <c r="B63" s="9" t="s">
        <v>663</v>
      </c>
      <c r="C63" s="3" t="s">
        <v>36</v>
      </c>
      <c r="I63" s="26">
        <f>I48</f>
        <v>8640</v>
      </c>
    </row>
    <row r="64" spans="2:13" x14ac:dyDescent="0.25">
      <c r="B64" s="9"/>
      <c r="I64" s="35"/>
    </row>
    <row r="65" spans="2:9" x14ac:dyDescent="0.25">
      <c r="B65" s="9" t="s">
        <v>664</v>
      </c>
      <c r="C65" s="3" t="s">
        <v>30</v>
      </c>
      <c r="I65" s="35">
        <f>752.1*150%</f>
        <v>1128.1500000000001</v>
      </c>
    </row>
    <row r="67" spans="2:9" x14ac:dyDescent="0.25">
      <c r="B67" s="36" t="s">
        <v>661</v>
      </c>
      <c r="C67" s="26">
        <f>I63+I65*12</f>
        <v>22177.8</v>
      </c>
    </row>
  </sheetData>
  <mergeCells count="14">
    <mergeCell ref="C26:G26"/>
    <mergeCell ref="C29:G29"/>
    <mergeCell ref="B59:I59"/>
    <mergeCell ref="B39:I39"/>
    <mergeCell ref="C52:H52"/>
    <mergeCell ref="C54:H54"/>
    <mergeCell ref="C13:G13"/>
    <mergeCell ref="C15:G15"/>
    <mergeCell ref="C17:G17"/>
    <mergeCell ref="G1:I1"/>
    <mergeCell ref="A2:H2"/>
    <mergeCell ref="C7:G7"/>
    <mergeCell ref="C9:G9"/>
    <mergeCell ref="C11:G11"/>
  </mergeCells>
  <phoneticPr fontId="17" type="noConversion"/>
  <pageMargins left="0.7" right="0.7" top="0.75" bottom="0.75" header="0.3" footer="0.3"/>
  <pageSetup paperSize="9" scale="85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3074" r:id="rId4">
          <objectPr defaultSize="0" autoPict="0" r:id="rId5">
            <anchor moveWithCells="1" sizeWithCells="1">
              <from>
                <xdr:col>1</xdr:col>
                <xdr:colOff>0</xdr:colOff>
                <xdr:row>4</xdr:row>
                <xdr:rowOff>0</xdr:rowOff>
              </from>
              <to>
                <xdr:col>6</xdr:col>
                <xdr:colOff>466725</xdr:colOff>
                <xdr:row>5</xdr:row>
                <xdr:rowOff>66675</xdr:rowOff>
              </to>
            </anchor>
          </objectPr>
        </oleObject>
      </mc:Choice>
      <mc:Fallback>
        <oleObject progId="Equation.3" shapeId="3074" r:id="rId4"/>
      </mc:Fallback>
    </mc:AlternateContent>
    <mc:AlternateContent xmlns:mc="http://schemas.openxmlformats.org/markup-compatibility/2006">
      <mc:Choice Requires="x14">
        <oleObject progId="Equation.3" shapeId="3082" r:id="rId6">
          <objectPr defaultSize="0" autoPict="0" r:id="rId7">
            <anchor moveWithCells="1" sizeWithCells="1">
              <from>
                <xdr:col>1</xdr:col>
                <xdr:colOff>0</xdr:colOff>
                <xdr:row>21</xdr:row>
                <xdr:rowOff>0</xdr:rowOff>
              </from>
              <to>
                <xdr:col>3</xdr:col>
                <xdr:colOff>76200</xdr:colOff>
                <xdr:row>23</xdr:row>
                <xdr:rowOff>66675</xdr:rowOff>
              </to>
            </anchor>
          </objectPr>
        </oleObject>
      </mc:Choice>
      <mc:Fallback>
        <oleObject progId="Equation.3" shapeId="3082" r:id="rId6"/>
      </mc:Fallback>
    </mc:AlternateContent>
    <mc:AlternateContent xmlns:mc="http://schemas.openxmlformats.org/markup-compatibility/2006">
      <mc:Choice Requires="x14">
        <oleObject progId="Equation.3" shapeId="3083" r:id="rId8">
          <objectPr defaultSize="0" autoPict="0" r:id="rId9">
            <anchor moveWithCells="1" sizeWithCells="1">
              <from>
                <xdr:col>1</xdr:col>
                <xdr:colOff>0</xdr:colOff>
                <xdr:row>40</xdr:row>
                <xdr:rowOff>0</xdr:rowOff>
              </from>
              <to>
                <xdr:col>8</xdr:col>
                <xdr:colOff>514350</xdr:colOff>
                <xdr:row>41</xdr:row>
                <xdr:rowOff>66675</xdr:rowOff>
              </to>
            </anchor>
          </objectPr>
        </oleObject>
      </mc:Choice>
      <mc:Fallback>
        <oleObject progId="Equation.3" shapeId="3083" r:id="rId8"/>
      </mc:Fallback>
    </mc:AlternateContent>
    <mc:AlternateContent xmlns:mc="http://schemas.openxmlformats.org/markup-compatibility/2006">
      <mc:Choice Requires="x14">
        <oleObject progId="Equation.3" shapeId="3084" r:id="rId10">
          <objectPr defaultSize="0" autoPict="0" r:id="rId11">
            <anchor moveWithCells="1" sizeWithCells="1">
              <from>
                <xdr:col>1</xdr:col>
                <xdr:colOff>0</xdr:colOff>
                <xdr:row>55</xdr:row>
                <xdr:rowOff>0</xdr:rowOff>
              </from>
              <to>
                <xdr:col>1</xdr:col>
                <xdr:colOff>466725</xdr:colOff>
                <xdr:row>56</xdr:row>
                <xdr:rowOff>161925</xdr:rowOff>
              </to>
            </anchor>
          </objectPr>
        </oleObject>
      </mc:Choice>
      <mc:Fallback>
        <oleObject progId="Equation.3" shapeId="3084" r:id="rId10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28"/>
  <sheetViews>
    <sheetView topLeftCell="A201" workbookViewId="0">
      <selection activeCell="H209" sqref="H209"/>
    </sheetView>
  </sheetViews>
  <sheetFormatPr defaultRowHeight="15" x14ac:dyDescent="0.25"/>
  <cols>
    <col min="1" max="1" width="1.42578125" style="10" customWidth="1"/>
    <col min="2" max="2" width="13.42578125" style="10" customWidth="1"/>
    <col min="3" max="3" width="15.140625" style="10" customWidth="1"/>
    <col min="4" max="5" width="9.140625" style="10" customWidth="1"/>
    <col min="6" max="6" width="8.42578125" style="10" customWidth="1"/>
    <col min="7" max="7" width="7.140625" style="10" customWidth="1"/>
    <col min="8" max="8" width="6.85546875" style="10" customWidth="1"/>
    <col min="9" max="9" width="9.140625" style="10" customWidth="1"/>
    <col min="10" max="10" width="8.5703125" style="10" customWidth="1"/>
    <col min="11" max="11" width="6" style="10" customWidth="1"/>
    <col min="12" max="12" width="12.85546875" style="10" customWidth="1"/>
    <col min="13" max="21" width="9.140625" style="10" customWidth="1"/>
  </cols>
  <sheetData>
    <row r="1" spans="2:12" x14ac:dyDescent="0.25">
      <c r="I1" s="822" t="s">
        <v>667</v>
      </c>
      <c r="J1" s="822"/>
      <c r="K1" s="822"/>
    </row>
    <row r="2" spans="2:12" x14ac:dyDescent="0.25">
      <c r="B2" s="823" t="s">
        <v>53</v>
      </c>
      <c r="C2" s="823"/>
      <c r="D2" s="823"/>
      <c r="E2" s="823"/>
      <c r="F2" s="823"/>
      <c r="G2" s="823"/>
      <c r="H2" s="823"/>
      <c r="I2" s="823"/>
      <c r="J2" s="823"/>
      <c r="K2" s="823"/>
      <c r="L2" s="823"/>
    </row>
    <row r="5" spans="2:12" x14ac:dyDescent="0.25">
      <c r="E5" s="10" t="s">
        <v>937</v>
      </c>
    </row>
    <row r="8" spans="2:12" ht="28.5" customHeight="1" x14ac:dyDescent="0.25">
      <c r="B8" s="14" t="s">
        <v>38</v>
      </c>
      <c r="C8" s="810" t="s">
        <v>37</v>
      </c>
      <c r="D8" s="810"/>
      <c r="E8" s="810"/>
      <c r="F8" s="810"/>
      <c r="G8" s="810"/>
      <c r="H8" s="810"/>
      <c r="I8" s="810"/>
      <c r="J8" s="810"/>
      <c r="K8" s="810"/>
    </row>
    <row r="9" spans="2:12" x14ac:dyDescent="0.25">
      <c r="B9" s="15"/>
    </row>
    <row r="10" spans="2:12" ht="28.5" customHeight="1" x14ac:dyDescent="0.25">
      <c r="B10" s="14" t="s">
        <v>87</v>
      </c>
      <c r="C10" s="810" t="s">
        <v>49</v>
      </c>
      <c r="D10" s="810"/>
      <c r="E10" s="810"/>
      <c r="F10" s="810"/>
      <c r="G10" s="810"/>
      <c r="H10" s="810"/>
      <c r="I10" s="810"/>
      <c r="J10" s="810"/>
      <c r="K10" s="810"/>
      <c r="L10" s="26" t="e">
        <f>C45</f>
        <v>#REF!</v>
      </c>
    </row>
    <row r="11" spans="2:12" x14ac:dyDescent="0.25">
      <c r="B11" s="14"/>
    </row>
    <row r="12" spans="2:12" ht="27.75" customHeight="1" x14ac:dyDescent="0.25">
      <c r="B12" s="14" t="s">
        <v>39</v>
      </c>
      <c r="C12" s="810" t="s">
        <v>50</v>
      </c>
      <c r="D12" s="810"/>
      <c r="E12" s="810"/>
      <c r="F12" s="810"/>
      <c r="G12" s="810"/>
      <c r="H12" s="810"/>
      <c r="I12" s="810"/>
      <c r="J12" s="810"/>
      <c r="K12" s="810"/>
      <c r="L12" s="37">
        <f>C33</f>
        <v>633</v>
      </c>
    </row>
    <row r="13" spans="2:12" x14ac:dyDescent="0.25">
      <c r="B13" s="15"/>
    </row>
    <row r="14" spans="2:12" x14ac:dyDescent="0.25">
      <c r="B14" s="14" t="s">
        <v>51</v>
      </c>
      <c r="C14" s="3" t="s">
        <v>52</v>
      </c>
      <c r="L14" s="26">
        <f>C325</f>
        <v>3494055.29</v>
      </c>
    </row>
    <row r="16" spans="2:12" x14ac:dyDescent="0.25">
      <c r="B16" s="40" t="s">
        <v>918</v>
      </c>
      <c r="C16" s="69" t="e">
        <f>L10*L12+L14</f>
        <v>#REF!</v>
      </c>
    </row>
    <row r="17" spans="2:10" x14ac:dyDescent="0.25">
      <c r="B17" s="9" t="s">
        <v>72</v>
      </c>
    </row>
    <row r="20" spans="2:10" x14ac:dyDescent="0.25">
      <c r="J20" s="10" t="s">
        <v>930</v>
      </c>
    </row>
    <row r="24" spans="2:10" ht="15" customHeight="1" x14ac:dyDescent="0.25">
      <c r="B24" s="16" t="s">
        <v>58</v>
      </c>
      <c r="C24" s="3" t="s">
        <v>54</v>
      </c>
      <c r="D24" s="3"/>
      <c r="E24" s="3"/>
      <c r="F24" s="3"/>
      <c r="G24" s="3"/>
      <c r="H24" s="3"/>
      <c r="I24" s="11" t="s">
        <v>920</v>
      </c>
      <c r="J24" s="36">
        <v>647</v>
      </c>
    </row>
    <row r="25" spans="2:10" x14ac:dyDescent="0.25">
      <c r="C25" s="3"/>
      <c r="D25" s="3"/>
      <c r="E25" s="3"/>
      <c r="F25" s="3"/>
      <c r="G25" s="3"/>
      <c r="H25" s="3"/>
      <c r="I25" s="11"/>
      <c r="J25" s="36"/>
    </row>
    <row r="26" spans="2:10" x14ac:dyDescent="0.25">
      <c r="B26" s="10" t="s">
        <v>68</v>
      </c>
      <c r="C26" s="3" t="s">
        <v>55</v>
      </c>
      <c r="D26" s="3"/>
      <c r="E26" s="3"/>
      <c r="F26" s="3"/>
      <c r="G26" s="3"/>
      <c r="H26" s="3"/>
      <c r="I26" s="11" t="s">
        <v>920</v>
      </c>
      <c r="J26" s="36">
        <v>107</v>
      </c>
    </row>
    <row r="27" spans="2:10" x14ac:dyDescent="0.25">
      <c r="C27" s="3"/>
      <c r="D27" s="3"/>
      <c r="E27" s="3"/>
      <c r="F27" s="3"/>
      <c r="G27" s="3"/>
      <c r="H27" s="3"/>
      <c r="I27" s="11"/>
      <c r="J27" s="36"/>
    </row>
    <row r="28" spans="2:10" x14ac:dyDescent="0.25">
      <c r="B28" s="16" t="s">
        <v>69</v>
      </c>
      <c r="C28" s="3" t="s">
        <v>56</v>
      </c>
      <c r="D28" s="3"/>
      <c r="E28" s="3"/>
      <c r="F28" s="3"/>
      <c r="G28" s="3"/>
      <c r="H28" s="3"/>
      <c r="I28" s="11" t="s">
        <v>920</v>
      </c>
      <c r="J28" s="36">
        <v>570</v>
      </c>
    </row>
    <row r="29" spans="2:10" x14ac:dyDescent="0.25">
      <c r="C29" s="3"/>
      <c r="D29" s="3"/>
      <c r="E29" s="3"/>
      <c r="F29" s="3"/>
      <c r="G29" s="3"/>
      <c r="H29" s="3"/>
      <c r="I29" s="11"/>
      <c r="J29" s="36"/>
    </row>
    <row r="30" spans="2:10" x14ac:dyDescent="0.25">
      <c r="B30" s="10" t="s">
        <v>70</v>
      </c>
      <c r="C30" s="3" t="s">
        <v>57</v>
      </c>
      <c r="D30" s="3"/>
      <c r="E30" s="3"/>
      <c r="F30" s="3"/>
      <c r="G30" s="3"/>
      <c r="H30" s="3"/>
      <c r="I30" s="11" t="s">
        <v>920</v>
      </c>
      <c r="J30" s="36">
        <v>140</v>
      </c>
    </row>
    <row r="33" spans="2:12" x14ac:dyDescent="0.25">
      <c r="B33" s="17" t="s">
        <v>71</v>
      </c>
      <c r="C33" s="18">
        <f>(2*(J24+0.1*J26)+(J28+0.1*J30))/3</f>
        <v>633</v>
      </c>
    </row>
    <row r="35" spans="2:12" ht="30.95" customHeight="1" x14ac:dyDescent="0.25">
      <c r="B35" s="821" t="s">
        <v>73</v>
      </c>
      <c r="C35" s="821"/>
      <c r="D35" s="821"/>
      <c r="E35" s="821"/>
      <c r="F35" s="821"/>
      <c r="G35" s="821"/>
      <c r="H35" s="821"/>
      <c r="I35" s="821"/>
      <c r="J35" s="821"/>
      <c r="K35" s="821"/>
    </row>
    <row r="41" spans="2:12" ht="27.2" customHeight="1" x14ac:dyDescent="0.25">
      <c r="B41" s="14" t="s">
        <v>76</v>
      </c>
      <c r="C41" s="809" t="s">
        <v>74</v>
      </c>
      <c r="D41" s="809"/>
      <c r="E41" s="809"/>
      <c r="F41" s="809"/>
      <c r="G41" s="809"/>
      <c r="H41" s="809"/>
      <c r="I41" s="809"/>
      <c r="J41" s="809"/>
      <c r="K41" s="809"/>
      <c r="L41" s="26">
        <f>C67+C96+C103</f>
        <v>12269.01</v>
      </c>
    </row>
    <row r="42" spans="2:12" x14ac:dyDescent="0.25">
      <c r="B42" s="14"/>
    </row>
    <row r="43" spans="2:12" ht="24.75" customHeight="1" x14ac:dyDescent="0.25">
      <c r="B43" s="14" t="s">
        <v>77</v>
      </c>
      <c r="C43" s="810" t="s">
        <v>75</v>
      </c>
      <c r="D43" s="810"/>
      <c r="E43" s="810"/>
      <c r="F43" s="810"/>
      <c r="G43" s="810"/>
      <c r="H43" s="810"/>
      <c r="I43" s="810"/>
      <c r="J43" s="810"/>
      <c r="K43" s="810"/>
      <c r="L43" s="26" t="e">
        <f>C57</f>
        <v>#REF!</v>
      </c>
    </row>
    <row r="45" spans="2:12" x14ac:dyDescent="0.25">
      <c r="B45" s="39" t="s">
        <v>556</v>
      </c>
      <c r="C45" s="26" t="e">
        <f>L41+L43</f>
        <v>#REF!</v>
      </c>
    </row>
    <row r="47" spans="2:12" x14ac:dyDescent="0.25">
      <c r="D47" s="10" t="s">
        <v>930</v>
      </c>
    </row>
    <row r="50" spans="2:11" ht="38.450000000000003" customHeight="1" x14ac:dyDescent="0.25">
      <c r="B50" s="14" t="s">
        <v>79</v>
      </c>
      <c r="C50" s="810" t="s">
        <v>78</v>
      </c>
      <c r="D50" s="810"/>
      <c r="E50" s="810"/>
      <c r="F50" s="810"/>
      <c r="G50" s="810"/>
      <c r="H50" s="810"/>
      <c r="I50" s="810"/>
      <c r="J50" s="810"/>
      <c r="K50" s="810"/>
    </row>
    <row r="52" spans="2:11" x14ac:dyDescent="0.25">
      <c r="D52" s="10" t="s">
        <v>930</v>
      </c>
    </row>
    <row r="55" spans="2:11" ht="54" customHeight="1" x14ac:dyDescent="0.25">
      <c r="B55" s="14" t="s">
        <v>80</v>
      </c>
      <c r="C55" s="810" t="s">
        <v>84</v>
      </c>
      <c r="D55" s="810"/>
      <c r="E55" s="810"/>
      <c r="F55" s="810"/>
      <c r="G55" s="810"/>
      <c r="H55" s="810"/>
      <c r="I55" s="810"/>
      <c r="J55" s="810"/>
      <c r="K55" s="810"/>
    </row>
    <row r="56" spans="2:11" ht="12.95" customHeight="1" x14ac:dyDescent="0.25">
      <c r="B56" s="14"/>
      <c r="C56" s="7"/>
      <c r="D56" s="7"/>
      <c r="E56" s="7"/>
      <c r="F56" s="7"/>
      <c r="G56" s="7"/>
      <c r="H56" s="7"/>
      <c r="I56" s="7"/>
      <c r="J56" s="7"/>
      <c r="K56" s="7"/>
    </row>
    <row r="57" spans="2:11" ht="13.5" customHeight="1" x14ac:dyDescent="0.25">
      <c r="B57" s="51" t="s">
        <v>565</v>
      </c>
      <c r="C57" s="34" t="e">
        <f>C122</f>
        <v>#REF!</v>
      </c>
      <c r="D57" s="7"/>
      <c r="E57" s="7"/>
      <c r="F57" s="7"/>
      <c r="G57" s="7"/>
      <c r="H57" s="7"/>
      <c r="I57" s="7"/>
      <c r="J57" s="7"/>
      <c r="K57" s="7"/>
    </row>
    <row r="59" spans="2:11" ht="24.75" customHeight="1" x14ac:dyDescent="0.25">
      <c r="B59" s="811" t="s">
        <v>85</v>
      </c>
      <c r="C59" s="811"/>
      <c r="D59" s="811"/>
      <c r="E59" s="811"/>
      <c r="F59" s="811"/>
      <c r="G59" s="811"/>
      <c r="H59" s="811"/>
      <c r="I59" s="811"/>
      <c r="J59" s="811"/>
      <c r="K59" s="811"/>
    </row>
    <row r="60" spans="2:11" ht="16.5" x14ac:dyDescent="0.25">
      <c r="B60" s="19"/>
    </row>
    <row r="61" spans="2:11" ht="27.75" customHeight="1" x14ac:dyDescent="0.25">
      <c r="B61" s="810" t="s">
        <v>560</v>
      </c>
      <c r="C61" s="810"/>
      <c r="D61" s="810"/>
      <c r="E61" s="810"/>
      <c r="F61" s="810"/>
      <c r="G61" s="810"/>
      <c r="H61" s="810"/>
      <c r="I61" s="810"/>
      <c r="J61" s="810"/>
      <c r="K61" s="810"/>
    </row>
    <row r="67" spans="2:17" x14ac:dyDescent="0.25">
      <c r="B67" s="40" t="s">
        <v>552</v>
      </c>
      <c r="C67" s="26">
        <f>C84/L82</f>
        <v>3156.43</v>
      </c>
    </row>
    <row r="72" spans="2:17" x14ac:dyDescent="0.25">
      <c r="B72" s="10" t="s">
        <v>35</v>
      </c>
    </row>
    <row r="73" spans="2:17" x14ac:dyDescent="0.25">
      <c r="B73" s="16"/>
    </row>
    <row r="74" spans="2:17" x14ac:dyDescent="0.25">
      <c r="B74" s="1"/>
      <c r="C74" s="21" t="s">
        <v>86</v>
      </c>
      <c r="D74" s="22"/>
      <c r="E74" s="22"/>
      <c r="F74" s="22"/>
      <c r="G74" s="22"/>
      <c r="H74" s="22"/>
      <c r="I74" s="22"/>
      <c r="J74" s="22"/>
      <c r="K74" s="22"/>
      <c r="L74" s="47"/>
    </row>
    <row r="75" spans="2:17" x14ac:dyDescent="0.25">
      <c r="B75" s="16"/>
      <c r="C75" s="22"/>
      <c r="D75" s="22"/>
      <c r="E75" s="22"/>
      <c r="F75" s="22"/>
      <c r="G75" s="22"/>
      <c r="H75" s="22"/>
      <c r="I75" s="22"/>
      <c r="J75" s="22"/>
      <c r="K75" s="22"/>
    </row>
    <row r="76" spans="2:17" ht="25.5" customHeight="1" x14ac:dyDescent="0.25">
      <c r="B76" s="1"/>
      <c r="C76" s="809" t="s">
        <v>88</v>
      </c>
      <c r="D76" s="809"/>
      <c r="E76" s="809"/>
      <c r="F76" s="809"/>
      <c r="G76" s="809"/>
      <c r="H76" s="809"/>
      <c r="I76" s="809"/>
      <c r="J76" s="809"/>
      <c r="K76" s="809"/>
      <c r="L76" s="26">
        <f>(11228796*1.342)/L156</f>
        <v>23805.759999999998</v>
      </c>
      <c r="M76" s="20"/>
      <c r="N76" s="20"/>
      <c r="O76" s="808" t="s">
        <v>562</v>
      </c>
      <c r="P76" s="808"/>
      <c r="Q76" s="10">
        <v>52</v>
      </c>
    </row>
    <row r="77" spans="2:17" x14ac:dyDescent="0.25">
      <c r="B77" s="16"/>
      <c r="C77" s="7"/>
      <c r="D77" s="7"/>
      <c r="E77" s="7"/>
      <c r="F77" s="7"/>
      <c r="G77" s="7"/>
      <c r="H77" s="7"/>
      <c r="I77" s="7"/>
      <c r="J77" s="7"/>
      <c r="K77" s="7"/>
      <c r="L77" s="20"/>
      <c r="M77" s="20"/>
      <c r="N77" s="20"/>
    </row>
    <row r="78" spans="2:17" ht="18" customHeight="1" x14ac:dyDescent="0.25">
      <c r="B78" s="13" t="s">
        <v>93</v>
      </c>
      <c r="C78" s="809" t="s">
        <v>89</v>
      </c>
      <c r="D78" s="809"/>
      <c r="E78" s="809"/>
      <c r="F78" s="809"/>
      <c r="G78" s="809"/>
      <c r="H78" s="809"/>
      <c r="I78" s="809"/>
      <c r="J78" s="809"/>
      <c r="K78" s="809"/>
      <c r="L78" s="50">
        <f>1.09</f>
        <v>1.0900000000000001</v>
      </c>
      <c r="M78" s="20"/>
      <c r="N78" s="20"/>
      <c r="O78" s="824" t="s">
        <v>563</v>
      </c>
      <c r="P78" s="824"/>
      <c r="Q78" s="10">
        <f>73+4</f>
        <v>77</v>
      </c>
    </row>
    <row r="79" spans="2:17" x14ac:dyDescent="0.25">
      <c r="B79" s="16"/>
      <c r="C79" s="7"/>
      <c r="D79" s="7"/>
      <c r="E79" s="7"/>
      <c r="F79" s="7"/>
      <c r="G79" s="7"/>
      <c r="H79" s="7"/>
      <c r="I79" s="7"/>
      <c r="J79" s="7"/>
      <c r="K79" s="7"/>
      <c r="L79" s="20"/>
      <c r="M79" s="20"/>
      <c r="N79" s="20"/>
    </row>
    <row r="80" spans="2:17" ht="22.5" customHeight="1" x14ac:dyDescent="0.25">
      <c r="B80"/>
      <c r="C80" s="810" t="s">
        <v>90</v>
      </c>
      <c r="D80" s="810"/>
      <c r="E80" s="810"/>
      <c r="F80" s="810"/>
      <c r="G80" s="810"/>
      <c r="H80" s="810"/>
      <c r="I80" s="810"/>
      <c r="J80" s="810"/>
      <c r="K80" s="810"/>
      <c r="L80" s="46">
        <f>Q78</f>
        <v>77</v>
      </c>
      <c r="M80" s="20"/>
      <c r="N80" s="20"/>
    </row>
    <row r="81" spans="2:14" x14ac:dyDescent="0.25">
      <c r="B81" s="16"/>
      <c r="C81" s="7"/>
      <c r="D81" s="7"/>
      <c r="E81" s="7"/>
      <c r="F81" s="7"/>
      <c r="G81" s="7"/>
      <c r="H81" s="7"/>
      <c r="I81" s="7"/>
      <c r="J81" s="7"/>
      <c r="K81" s="7"/>
      <c r="L81" s="20"/>
      <c r="M81" s="20"/>
      <c r="N81" s="20"/>
    </row>
    <row r="82" spans="2:14" x14ac:dyDescent="0.25">
      <c r="B82" s="13" t="s">
        <v>94</v>
      </c>
      <c r="C82" s="809" t="s">
        <v>92</v>
      </c>
      <c r="D82" s="809"/>
      <c r="E82" s="809"/>
      <c r="F82" s="809"/>
      <c r="G82" s="809"/>
      <c r="H82" s="809"/>
      <c r="I82" s="809"/>
      <c r="J82" s="809"/>
      <c r="K82" s="809"/>
      <c r="L82" s="46">
        <f>L12</f>
        <v>633</v>
      </c>
      <c r="M82" s="20"/>
      <c r="N82" s="20"/>
    </row>
    <row r="83" spans="2:14" x14ac:dyDescent="0.25">
      <c r="B83" s="23"/>
      <c r="C83" s="12"/>
      <c r="D83" s="12"/>
      <c r="E83" s="12"/>
      <c r="F83" s="12"/>
      <c r="G83" s="12"/>
      <c r="H83" s="12"/>
      <c r="I83" s="12"/>
      <c r="J83" s="12"/>
      <c r="K83" s="12"/>
      <c r="L83" s="20"/>
      <c r="M83" s="20"/>
      <c r="N83" s="20"/>
    </row>
    <row r="84" spans="2:14" x14ac:dyDescent="0.25">
      <c r="B84" s="48" t="s">
        <v>553</v>
      </c>
      <c r="C84" s="49">
        <f>L76*L78*L80</f>
        <v>1998017.44</v>
      </c>
      <c r="D84" s="12"/>
      <c r="E84" s="12"/>
      <c r="F84" s="12"/>
      <c r="G84" s="12"/>
      <c r="H84" s="12"/>
      <c r="I84" s="12"/>
      <c r="J84" s="12"/>
      <c r="K84" s="12"/>
      <c r="L84" s="20"/>
      <c r="M84" s="20"/>
      <c r="N84" s="20"/>
    </row>
    <row r="86" spans="2:14" ht="23.25" customHeight="1" x14ac:dyDescent="0.25">
      <c r="B86" s="810" t="s">
        <v>95</v>
      </c>
      <c r="C86" s="810"/>
      <c r="D86" s="810"/>
      <c r="E86" s="810"/>
      <c r="F86" s="810"/>
      <c r="G86" s="810"/>
      <c r="H86" s="810"/>
      <c r="I86" s="810"/>
      <c r="J86" s="810"/>
      <c r="K86" s="810"/>
    </row>
    <row r="88" spans="2:14" x14ac:dyDescent="0.25">
      <c r="B88"/>
      <c r="C88"/>
    </row>
    <row r="90" spans="2:14" x14ac:dyDescent="0.25">
      <c r="B90" s="10" t="s">
        <v>35</v>
      </c>
    </row>
    <row r="92" spans="2:14" ht="24.75" customHeight="1" x14ac:dyDescent="0.25">
      <c r="B92"/>
      <c r="C92" s="810" t="s">
        <v>105</v>
      </c>
      <c r="D92" s="810"/>
      <c r="E92" s="810"/>
      <c r="F92" s="810"/>
      <c r="G92" s="810"/>
      <c r="H92" s="810"/>
      <c r="I92" s="810"/>
      <c r="J92" s="810"/>
      <c r="K92" s="810"/>
      <c r="L92" s="26">
        <f>('340 Общая'!B42)/L12</f>
        <v>75.98</v>
      </c>
    </row>
    <row r="93" spans="2:14" x14ac:dyDescent="0.25">
      <c r="C93" s="21"/>
      <c r="D93" s="21"/>
      <c r="E93" s="21"/>
      <c r="F93" s="21"/>
      <c r="G93" s="21"/>
      <c r="H93" s="21"/>
      <c r="I93" s="21"/>
      <c r="J93" s="21"/>
      <c r="K93" s="21"/>
    </row>
    <row r="94" spans="2:14" ht="12" customHeight="1" x14ac:dyDescent="0.25">
      <c r="B94" s="13" t="s">
        <v>566</v>
      </c>
      <c r="C94" s="812" t="s">
        <v>107</v>
      </c>
      <c r="D94" s="812"/>
      <c r="E94" s="812"/>
      <c r="F94" s="812"/>
      <c r="G94" s="812"/>
      <c r="H94" s="812"/>
      <c r="I94" s="812"/>
      <c r="J94" s="812"/>
      <c r="K94" s="812"/>
      <c r="L94" s="36">
        <f>1.15</f>
        <v>1.1499999999999999</v>
      </c>
    </row>
    <row r="96" spans="2:14" x14ac:dyDescent="0.25">
      <c r="B96" s="40" t="s">
        <v>557</v>
      </c>
      <c r="C96" s="26">
        <f>L92*L94</f>
        <v>87.38</v>
      </c>
    </row>
    <row r="97" spans="2:12" ht="15.75" customHeight="1" x14ac:dyDescent="0.25">
      <c r="B97" s="810" t="s">
        <v>561</v>
      </c>
      <c r="C97" s="810"/>
      <c r="D97" s="810"/>
      <c r="E97" s="810"/>
      <c r="F97" s="810"/>
      <c r="G97" s="810"/>
      <c r="H97" s="810"/>
      <c r="I97" s="810"/>
      <c r="J97" s="810"/>
      <c r="K97" s="810"/>
    </row>
    <row r="99" spans="2:12" x14ac:dyDescent="0.25">
      <c r="B99" s="14" t="s">
        <v>109</v>
      </c>
      <c r="C99" s="9" t="s">
        <v>108</v>
      </c>
      <c r="D99" s="9"/>
      <c r="E99" s="3" t="s">
        <v>930</v>
      </c>
    </row>
    <row r="101" spans="2:12" ht="54.75" customHeight="1" x14ac:dyDescent="0.25">
      <c r="B101" s="14" t="s">
        <v>109</v>
      </c>
      <c r="C101" s="813" t="s">
        <v>110</v>
      </c>
      <c r="D101" s="813"/>
      <c r="E101" s="813"/>
      <c r="F101" s="813"/>
      <c r="G101" s="813"/>
      <c r="H101" s="813"/>
      <c r="I101" s="813"/>
      <c r="J101" s="813"/>
      <c r="K101" s="813"/>
      <c r="L101" s="26">
        <f>752.1</f>
        <v>752.1</v>
      </c>
    </row>
    <row r="103" spans="2:12" x14ac:dyDescent="0.25">
      <c r="B103" s="25" t="s">
        <v>111</v>
      </c>
      <c r="C103" s="26">
        <f>L101*12</f>
        <v>9025.2000000000007</v>
      </c>
    </row>
    <row r="105" spans="2:12" ht="26.25" customHeight="1" x14ac:dyDescent="0.25">
      <c r="B105" s="811" t="s">
        <v>559</v>
      </c>
      <c r="C105" s="811"/>
      <c r="D105" s="811"/>
      <c r="E105" s="811"/>
      <c r="F105" s="811"/>
      <c r="G105" s="811"/>
      <c r="H105" s="811"/>
      <c r="I105" s="811"/>
      <c r="J105" s="811"/>
      <c r="K105" s="811"/>
    </row>
    <row r="107" spans="2:12" ht="16.5" x14ac:dyDescent="0.25">
      <c r="B107"/>
      <c r="C107" s="8" t="s">
        <v>112</v>
      </c>
    </row>
    <row r="110" spans="2:12" x14ac:dyDescent="0.25">
      <c r="B110" s="16" t="s">
        <v>114</v>
      </c>
      <c r="C110" s="3" t="s">
        <v>226</v>
      </c>
      <c r="D110" s="3"/>
      <c r="L110" s="26">
        <f>C135</f>
        <v>6408.87</v>
      </c>
    </row>
    <row r="111" spans="2:12" x14ac:dyDescent="0.25">
      <c r="B111" s="16"/>
      <c r="C111" s="3"/>
      <c r="D111" s="3"/>
    </row>
    <row r="112" spans="2:12" ht="38.450000000000003" customHeight="1" x14ac:dyDescent="0.25">
      <c r="B112" s="14" t="s">
        <v>115</v>
      </c>
      <c r="C112" s="810" t="s">
        <v>227</v>
      </c>
      <c r="D112" s="810"/>
      <c r="E112" s="810"/>
      <c r="F112" s="810"/>
      <c r="G112" s="810"/>
      <c r="H112" s="810"/>
      <c r="I112" s="810"/>
      <c r="J112" s="810"/>
      <c r="K112" s="810"/>
      <c r="L112" s="26" t="e">
        <f>C221</f>
        <v>#REF!</v>
      </c>
    </row>
    <row r="113" spans="2:14" x14ac:dyDescent="0.25">
      <c r="B113" s="16"/>
      <c r="C113" s="3"/>
      <c r="D113" s="3"/>
      <c r="L113" s="3"/>
    </row>
    <row r="114" spans="2:14" x14ac:dyDescent="0.25">
      <c r="B114" s="27" t="s">
        <v>113</v>
      </c>
      <c r="C114" s="3" t="s">
        <v>228</v>
      </c>
      <c r="D114" s="3"/>
      <c r="L114" s="26">
        <f>C232</f>
        <v>163.85</v>
      </c>
    </row>
    <row r="115" spans="2:14" x14ac:dyDescent="0.25">
      <c r="B115" s="16"/>
      <c r="C115" s="3"/>
      <c r="D115" s="3"/>
    </row>
    <row r="116" spans="2:14" x14ac:dyDescent="0.25">
      <c r="B116" s="9" t="s">
        <v>280</v>
      </c>
      <c r="C116" s="3" t="s">
        <v>229</v>
      </c>
      <c r="D116" s="3"/>
      <c r="L116" s="26">
        <f>C243</f>
        <v>9.1</v>
      </c>
    </row>
    <row r="117" spans="2:14" x14ac:dyDescent="0.25">
      <c r="B117" s="16"/>
      <c r="C117" s="3"/>
      <c r="D117" s="3"/>
    </row>
    <row r="118" spans="2:14" ht="48.95" customHeight="1" x14ac:dyDescent="0.25">
      <c r="B118" s="28" t="s">
        <v>116</v>
      </c>
      <c r="C118" s="810" t="s">
        <v>230</v>
      </c>
      <c r="D118" s="810"/>
      <c r="E118" s="810"/>
      <c r="F118" s="810"/>
      <c r="G118" s="810"/>
      <c r="H118" s="810"/>
      <c r="I118" s="810"/>
      <c r="J118" s="810"/>
      <c r="K118" s="810"/>
      <c r="L118" s="70">
        <f>(20021029-11228796)*1.342/L82</f>
        <v>18640.09</v>
      </c>
      <c r="M118" s="58">
        <f>C255</f>
        <v>102.36</v>
      </c>
      <c r="N118" s="70">
        <f>(20021029-11228796)*1.342/L82</f>
        <v>18640.09</v>
      </c>
    </row>
    <row r="119" spans="2:14" ht="14.25" customHeight="1" x14ac:dyDescent="0.25">
      <c r="B119" s="9"/>
      <c r="C119" s="3"/>
      <c r="D119" s="3"/>
      <c r="L119" s="47"/>
    </row>
    <row r="120" spans="2:14" x14ac:dyDescent="0.25">
      <c r="B120" s="9" t="s">
        <v>117</v>
      </c>
      <c r="C120" s="3" t="s">
        <v>231</v>
      </c>
      <c r="D120" s="3"/>
      <c r="L120" s="26">
        <f>C299</f>
        <v>157.35</v>
      </c>
    </row>
    <row r="122" spans="2:14" x14ac:dyDescent="0.25">
      <c r="B122" s="40" t="s">
        <v>558</v>
      </c>
      <c r="C122" s="26" t="e">
        <f>L110+L112+L114+L116+L118+L120</f>
        <v>#REF!</v>
      </c>
    </row>
    <row r="124" spans="2:14" x14ac:dyDescent="0.25">
      <c r="B124" s="9" t="s">
        <v>232</v>
      </c>
    </row>
    <row r="126" spans="2:14" x14ac:dyDescent="0.25">
      <c r="B126"/>
      <c r="C126"/>
    </row>
    <row r="129" spans="2:12" ht="27.2" customHeight="1" x14ac:dyDescent="0.25">
      <c r="B129"/>
      <c r="C129" s="810" t="s">
        <v>233</v>
      </c>
      <c r="D129" s="810"/>
      <c r="E129" s="810"/>
      <c r="F129" s="810"/>
      <c r="G129" s="810"/>
      <c r="H129" s="810"/>
      <c r="I129" s="810"/>
      <c r="J129" s="810"/>
      <c r="K129" s="810"/>
      <c r="L129" s="26">
        <f>C158</f>
        <v>4056815.69</v>
      </c>
    </row>
    <row r="132" spans="2:12" ht="28.5" customHeight="1" x14ac:dyDescent="0.25">
      <c r="B132" s="14" t="s">
        <v>234</v>
      </c>
      <c r="C132" s="814" t="s">
        <v>235</v>
      </c>
      <c r="D132" s="814"/>
      <c r="E132" s="814"/>
      <c r="F132" s="814"/>
      <c r="G132" s="814"/>
      <c r="H132" s="814"/>
      <c r="I132" s="814"/>
      <c r="J132" s="814"/>
      <c r="K132" s="814"/>
      <c r="L132" s="37">
        <f>C33</f>
        <v>633</v>
      </c>
    </row>
    <row r="133" spans="2:12" ht="16.7" customHeight="1" x14ac:dyDescent="0.25">
      <c r="B133" s="14"/>
      <c r="C133" s="29"/>
      <c r="D133" s="29"/>
      <c r="E133" s="29"/>
      <c r="F133" s="29"/>
      <c r="G133" s="29"/>
      <c r="H133" s="29"/>
      <c r="I133" s="29"/>
      <c r="J133" s="29"/>
      <c r="K133" s="29"/>
    </row>
    <row r="134" spans="2:12" ht="16.7" customHeight="1" x14ac:dyDescent="0.25">
      <c r="B134" s="14"/>
      <c r="C134" s="29"/>
      <c r="D134" s="29"/>
      <c r="E134" s="29"/>
      <c r="F134" s="29"/>
      <c r="G134" s="29"/>
      <c r="H134" s="29"/>
      <c r="I134" s="29"/>
      <c r="J134" s="29"/>
      <c r="K134" s="29"/>
    </row>
    <row r="135" spans="2:12" x14ac:dyDescent="0.25">
      <c r="B135" s="40" t="s">
        <v>540</v>
      </c>
      <c r="C135" s="26">
        <f>L129/L132</f>
        <v>6408.87</v>
      </c>
    </row>
    <row r="136" spans="2:12" ht="30" customHeight="1" x14ac:dyDescent="0.25">
      <c r="B136" s="815" t="s">
        <v>281</v>
      </c>
      <c r="C136" s="815"/>
      <c r="D136" s="815"/>
      <c r="E136" s="815"/>
      <c r="F136" s="815"/>
      <c r="G136" s="815"/>
      <c r="H136" s="815"/>
      <c r="I136" s="815"/>
      <c r="J136" s="815"/>
      <c r="K136" s="815"/>
    </row>
    <row r="138" spans="2:12" x14ac:dyDescent="0.25">
      <c r="B138" s="16" t="s">
        <v>236</v>
      </c>
      <c r="C138" s="9" t="s">
        <v>539</v>
      </c>
    </row>
    <row r="140" spans="2:12" ht="26.25" customHeight="1" x14ac:dyDescent="0.25">
      <c r="B140"/>
      <c r="C140" s="810" t="s">
        <v>237</v>
      </c>
      <c r="D140" s="810"/>
      <c r="E140" s="810"/>
      <c r="F140" s="810"/>
      <c r="G140" s="810"/>
      <c r="H140" s="810"/>
      <c r="I140" s="810"/>
      <c r="J140" s="810"/>
      <c r="K140" s="810"/>
      <c r="L140" s="26">
        <f>7734.56/C33</f>
        <v>12.22</v>
      </c>
    </row>
    <row r="141" spans="2:12" x14ac:dyDescent="0.25">
      <c r="C141" s="7"/>
      <c r="D141" s="7"/>
      <c r="E141" s="7"/>
      <c r="F141" s="7"/>
      <c r="G141" s="7"/>
      <c r="H141" s="7"/>
      <c r="I141" s="7"/>
      <c r="J141" s="7"/>
      <c r="K141" s="7"/>
    </row>
    <row r="142" spans="2:12" ht="27.2" customHeight="1" x14ac:dyDescent="0.25">
      <c r="B142"/>
      <c r="C142" s="809" t="s">
        <v>238</v>
      </c>
      <c r="D142" s="809"/>
      <c r="E142" s="809"/>
      <c r="F142" s="809"/>
      <c r="G142" s="809"/>
      <c r="H142" s="809"/>
      <c r="I142" s="809"/>
      <c r="J142" s="809"/>
      <c r="K142" s="809"/>
      <c r="L142" s="26">
        <f>6522.92/C33</f>
        <v>10.3</v>
      </c>
    </row>
    <row r="143" spans="2:12" x14ac:dyDescent="0.25">
      <c r="C143" s="7"/>
      <c r="D143" s="7"/>
      <c r="E143" s="7"/>
      <c r="F143" s="7"/>
      <c r="G143" s="7"/>
      <c r="H143" s="7"/>
      <c r="I143" s="7"/>
      <c r="J143" s="7"/>
      <c r="K143" s="7"/>
    </row>
    <row r="144" spans="2:12" ht="26.25" customHeight="1" x14ac:dyDescent="0.25">
      <c r="B144"/>
      <c r="C144" s="810" t="s">
        <v>239</v>
      </c>
      <c r="D144" s="810"/>
      <c r="E144" s="810"/>
      <c r="F144" s="810"/>
      <c r="G144" s="810"/>
      <c r="H144" s="810"/>
      <c r="I144" s="810"/>
      <c r="J144" s="810"/>
      <c r="K144" s="810"/>
      <c r="L144" s="26">
        <f>2784.91/C33</f>
        <v>4.4000000000000004</v>
      </c>
    </row>
    <row r="145" spans="2:12" x14ac:dyDescent="0.25">
      <c r="C145" s="7"/>
      <c r="D145" s="7"/>
      <c r="E145" s="7"/>
      <c r="F145" s="7"/>
      <c r="G145" s="7"/>
      <c r="H145" s="7"/>
      <c r="I145" s="7"/>
      <c r="J145" s="7"/>
      <c r="K145" s="7"/>
    </row>
    <row r="146" spans="2:12" ht="27.75" customHeight="1" x14ac:dyDescent="0.25">
      <c r="B146"/>
      <c r="C146" s="809" t="s">
        <v>240</v>
      </c>
      <c r="D146" s="809"/>
      <c r="E146" s="809"/>
      <c r="F146" s="809"/>
      <c r="G146" s="809"/>
      <c r="H146" s="809"/>
      <c r="I146" s="809"/>
      <c r="J146" s="809"/>
      <c r="K146" s="809"/>
      <c r="L146" s="26">
        <f>400302.47/C33</f>
        <v>632.39</v>
      </c>
    </row>
    <row r="147" spans="2:12" x14ac:dyDescent="0.25">
      <c r="C147" s="7"/>
      <c r="D147" s="7"/>
      <c r="E147" s="7"/>
      <c r="F147" s="7"/>
      <c r="G147" s="7"/>
      <c r="H147" s="7"/>
      <c r="I147" s="7"/>
      <c r="J147" s="7"/>
      <c r="K147" s="7"/>
    </row>
    <row r="148" spans="2:12" ht="17.25" customHeight="1" x14ac:dyDescent="0.25">
      <c r="B148"/>
      <c r="C148" s="810" t="s">
        <v>241</v>
      </c>
      <c r="D148" s="810"/>
      <c r="E148" s="810"/>
      <c r="F148" s="810"/>
      <c r="G148" s="810"/>
      <c r="H148" s="810"/>
      <c r="I148" s="810"/>
      <c r="J148" s="810"/>
      <c r="K148" s="810"/>
      <c r="L148" s="26">
        <f>C171</f>
        <v>18.149999999999999</v>
      </c>
    </row>
    <row r="149" spans="2:12" x14ac:dyDescent="0.25">
      <c r="C149" s="7"/>
      <c r="D149" s="7"/>
      <c r="E149" s="7"/>
      <c r="F149" s="7"/>
      <c r="G149" s="7"/>
      <c r="H149" s="7"/>
      <c r="I149" s="7"/>
      <c r="J149" s="7"/>
      <c r="K149" s="7"/>
    </row>
    <row r="150" spans="2:12" ht="17.25" customHeight="1" x14ac:dyDescent="0.25">
      <c r="B150"/>
      <c r="C150" s="809" t="s">
        <v>242</v>
      </c>
      <c r="D150" s="809"/>
      <c r="E150" s="809"/>
      <c r="F150" s="809"/>
      <c r="G150" s="809"/>
      <c r="H150" s="809"/>
      <c r="I150" s="809"/>
      <c r="J150" s="809"/>
      <c r="K150" s="809"/>
      <c r="L150" s="26">
        <f>C184</f>
        <v>17.2</v>
      </c>
    </row>
    <row r="151" spans="2:12" x14ac:dyDescent="0.25">
      <c r="C151" s="7"/>
      <c r="D151" s="7"/>
      <c r="E151" s="7"/>
      <c r="F151" s="7"/>
      <c r="G151" s="7"/>
      <c r="H151" s="7"/>
      <c r="I151" s="7"/>
      <c r="J151" s="7"/>
      <c r="K151" s="7"/>
    </row>
    <row r="152" spans="2:12" x14ac:dyDescent="0.25">
      <c r="B152"/>
      <c r="C152" s="809" t="s">
        <v>243</v>
      </c>
      <c r="D152" s="809"/>
      <c r="E152" s="809"/>
      <c r="F152" s="809"/>
      <c r="G152" s="809"/>
      <c r="H152" s="809"/>
      <c r="I152" s="809"/>
      <c r="J152" s="809"/>
      <c r="K152" s="809"/>
      <c r="L152" s="26">
        <f>C197</f>
        <v>1185.1199999999999</v>
      </c>
    </row>
    <row r="153" spans="2:12" x14ac:dyDescent="0.25">
      <c r="C153" s="7"/>
      <c r="D153" s="7"/>
      <c r="E153" s="7"/>
      <c r="F153" s="7"/>
      <c r="G153" s="7"/>
      <c r="H153" s="7"/>
      <c r="I153" s="7"/>
      <c r="J153" s="7"/>
      <c r="K153" s="7"/>
    </row>
    <row r="154" spans="2:12" x14ac:dyDescent="0.25">
      <c r="B154"/>
      <c r="C154" s="809" t="s">
        <v>244</v>
      </c>
      <c r="D154" s="809"/>
      <c r="E154" s="809"/>
      <c r="F154" s="809"/>
      <c r="G154" s="809"/>
      <c r="H154" s="809"/>
      <c r="I154" s="809"/>
      <c r="J154" s="809"/>
      <c r="K154" s="809"/>
      <c r="L154" s="36">
        <f>C209</f>
        <v>5.9784741742499996</v>
      </c>
    </row>
    <row r="155" spans="2:12" x14ac:dyDescent="0.25">
      <c r="C155" s="7"/>
      <c r="D155" s="7"/>
      <c r="E155" s="7"/>
      <c r="F155" s="7"/>
      <c r="G155" s="7"/>
      <c r="H155" s="7"/>
      <c r="I155" s="7"/>
      <c r="J155" s="7"/>
      <c r="K155" s="7"/>
    </row>
    <row r="156" spans="2:12" ht="27.75" customHeight="1" x14ac:dyDescent="0.25">
      <c r="B156" s="8" t="s">
        <v>246</v>
      </c>
      <c r="C156" s="809" t="s">
        <v>245</v>
      </c>
      <c r="D156" s="809"/>
      <c r="E156" s="809"/>
      <c r="F156" s="809"/>
      <c r="G156" s="809"/>
      <c r="H156" s="809"/>
      <c r="I156" s="809"/>
      <c r="J156" s="809"/>
      <c r="K156" s="809"/>
      <c r="L156" s="37">
        <f>C33</f>
        <v>633</v>
      </c>
    </row>
    <row r="158" spans="2:12" x14ac:dyDescent="0.25">
      <c r="B158" s="17" t="s">
        <v>236</v>
      </c>
      <c r="C158" s="26">
        <f>(L140*L148+L142*L150+0.5*L144*L152+0.9*L146*L154)*L156</f>
        <v>4056815.69</v>
      </c>
    </row>
    <row r="160" spans="2:12" ht="27.75" customHeight="1" x14ac:dyDescent="0.25">
      <c r="B160" s="817" t="s">
        <v>258</v>
      </c>
      <c r="C160" s="817"/>
      <c r="D160" s="817"/>
      <c r="E160" s="817"/>
      <c r="F160" s="817"/>
      <c r="G160" s="817"/>
      <c r="H160" s="817"/>
      <c r="I160" s="817"/>
      <c r="J160" s="817"/>
      <c r="K160" s="817"/>
    </row>
    <row r="162" spans="2:12" x14ac:dyDescent="0.25">
      <c r="B162"/>
      <c r="D162" s="10" t="s">
        <v>262</v>
      </c>
    </row>
    <row r="165" spans="2:12" ht="18" customHeight="1" x14ac:dyDescent="0.25">
      <c r="B165"/>
      <c r="C165" s="810" t="s">
        <v>241</v>
      </c>
      <c r="D165" s="810"/>
      <c r="E165" s="810"/>
      <c r="F165" s="810"/>
      <c r="G165" s="810"/>
      <c r="H165" s="810"/>
      <c r="I165" s="810"/>
      <c r="J165" s="810"/>
      <c r="K165" s="810"/>
    </row>
    <row r="166" spans="2:12" x14ac:dyDescent="0.25">
      <c r="B166" s="3"/>
      <c r="C166" s="3"/>
      <c r="D166" s="3"/>
      <c r="E166" s="3"/>
      <c r="F166" s="3"/>
      <c r="G166" s="3"/>
      <c r="H166" s="3"/>
      <c r="I166" s="3"/>
      <c r="J166" s="3"/>
      <c r="K166" s="3"/>
    </row>
    <row r="167" spans="2:12" x14ac:dyDescent="0.25">
      <c r="B167"/>
      <c r="C167" s="816" t="s">
        <v>259</v>
      </c>
      <c r="D167" s="816"/>
      <c r="E167" s="816"/>
      <c r="F167" s="816"/>
      <c r="G167" s="816"/>
      <c r="H167" s="816"/>
      <c r="I167" s="816"/>
      <c r="J167" s="816"/>
      <c r="K167" s="816"/>
      <c r="L167" s="26">
        <f>((17.63+9.12)*1.18)/2</f>
        <v>15.78</v>
      </c>
    </row>
    <row r="168" spans="2:12" x14ac:dyDescent="0.25">
      <c r="B168" s="3"/>
      <c r="C168" s="3"/>
      <c r="D168" s="3"/>
      <c r="E168" s="3"/>
      <c r="F168" s="3"/>
      <c r="G168" s="3"/>
      <c r="H168" s="3"/>
      <c r="I168" s="3"/>
      <c r="J168" s="3"/>
      <c r="K168" s="3"/>
    </row>
    <row r="169" spans="2:12" x14ac:dyDescent="0.25">
      <c r="B169" s="30" t="s">
        <v>93</v>
      </c>
      <c r="C169" s="816" t="s">
        <v>260</v>
      </c>
      <c r="D169" s="816"/>
      <c r="E169" s="816"/>
      <c r="F169" s="816"/>
      <c r="G169" s="816"/>
      <c r="H169" s="816"/>
      <c r="I169" s="816"/>
      <c r="J169" s="816"/>
      <c r="K169" s="816"/>
      <c r="L169" s="36">
        <v>1.1499999999999999</v>
      </c>
    </row>
    <row r="170" spans="2:12" x14ac:dyDescent="0.25">
      <c r="B170" s="3"/>
      <c r="C170" s="3"/>
      <c r="D170" s="3"/>
      <c r="E170" s="3"/>
      <c r="F170" s="3"/>
      <c r="G170" s="3"/>
      <c r="H170" s="3"/>
      <c r="I170" s="3"/>
      <c r="J170" s="3"/>
      <c r="K170" s="3"/>
    </row>
    <row r="171" spans="2:12" x14ac:dyDescent="0.25">
      <c r="B171" s="36" t="s">
        <v>535</v>
      </c>
      <c r="C171" s="26">
        <f>L167*L169</f>
        <v>18.149999999999999</v>
      </c>
      <c r="D171" s="3"/>
      <c r="E171" s="3"/>
      <c r="F171" s="3"/>
      <c r="G171" s="3"/>
      <c r="H171" s="3"/>
      <c r="I171" s="3"/>
      <c r="J171" s="3"/>
      <c r="K171" s="3"/>
    </row>
    <row r="172" spans="2:12" x14ac:dyDescent="0.25">
      <c r="B172" s="3"/>
      <c r="C172" s="3"/>
      <c r="D172" s="3"/>
      <c r="E172" s="3"/>
      <c r="F172" s="3"/>
      <c r="G172" s="3"/>
      <c r="H172" s="3"/>
      <c r="I172" s="3"/>
      <c r="J172" s="3"/>
      <c r="K172" s="3"/>
    </row>
    <row r="173" spans="2:12" ht="25.5" customHeight="1" x14ac:dyDescent="0.25">
      <c r="B173" s="817" t="s">
        <v>261</v>
      </c>
      <c r="C173" s="817"/>
      <c r="D173" s="817"/>
      <c r="E173" s="817"/>
      <c r="F173" s="817"/>
      <c r="G173" s="817"/>
      <c r="H173" s="817"/>
      <c r="I173" s="817"/>
      <c r="J173" s="817"/>
      <c r="K173" s="817"/>
    </row>
    <row r="175" spans="2:12" x14ac:dyDescent="0.25">
      <c r="B175"/>
      <c r="D175" s="10" t="s">
        <v>262</v>
      </c>
    </row>
    <row r="178" spans="2:12" ht="18" customHeight="1" x14ac:dyDescent="0.25">
      <c r="B178"/>
      <c r="C178" s="810" t="s">
        <v>242</v>
      </c>
      <c r="D178" s="810"/>
      <c r="E178" s="810"/>
      <c r="F178" s="810"/>
      <c r="G178" s="810"/>
      <c r="H178" s="810"/>
      <c r="I178" s="810"/>
      <c r="J178" s="810"/>
      <c r="K178" s="810"/>
    </row>
    <row r="179" spans="2:12" x14ac:dyDescent="0.25">
      <c r="C179" s="3"/>
      <c r="D179" s="3"/>
      <c r="E179" s="3"/>
      <c r="F179" s="3"/>
      <c r="G179" s="3"/>
      <c r="H179" s="3"/>
      <c r="I179" s="3"/>
      <c r="J179" s="3"/>
      <c r="K179" s="3"/>
    </row>
    <row r="180" spans="2:12" x14ac:dyDescent="0.25">
      <c r="B180"/>
      <c r="C180" s="816" t="s">
        <v>263</v>
      </c>
      <c r="D180" s="816"/>
      <c r="E180" s="816"/>
      <c r="F180" s="816"/>
      <c r="G180" s="816"/>
      <c r="H180" s="816"/>
      <c r="I180" s="816"/>
      <c r="J180" s="816"/>
      <c r="K180" s="816"/>
      <c r="L180" s="26">
        <f>12.68*1.18</f>
        <v>14.96</v>
      </c>
    </row>
    <row r="181" spans="2:12" x14ac:dyDescent="0.25">
      <c r="C181" s="3"/>
      <c r="D181" s="3"/>
      <c r="E181" s="3"/>
      <c r="F181" s="3"/>
      <c r="G181" s="3"/>
      <c r="H181" s="3"/>
      <c r="I181" s="3"/>
      <c r="J181" s="3"/>
      <c r="K181" s="3"/>
    </row>
    <row r="182" spans="2:12" x14ac:dyDescent="0.25">
      <c r="B182" s="30" t="s">
        <v>93</v>
      </c>
      <c r="C182" s="816" t="s">
        <v>260</v>
      </c>
      <c r="D182" s="816"/>
      <c r="E182" s="816"/>
      <c r="F182" s="816"/>
      <c r="G182" s="816"/>
      <c r="H182" s="816"/>
      <c r="I182" s="816"/>
      <c r="J182" s="816"/>
      <c r="K182" s="816"/>
      <c r="L182" s="17">
        <f>L169</f>
        <v>1.1499999999999999</v>
      </c>
    </row>
    <row r="184" spans="2:12" x14ac:dyDescent="0.25">
      <c r="B184" s="17" t="s">
        <v>536</v>
      </c>
      <c r="C184" s="26">
        <f>L180*L182</f>
        <v>17.2</v>
      </c>
    </row>
    <row r="186" spans="2:12" ht="25.5" customHeight="1" x14ac:dyDescent="0.25">
      <c r="B186" s="821" t="s">
        <v>264</v>
      </c>
      <c r="C186" s="821"/>
      <c r="D186" s="821"/>
      <c r="E186" s="821"/>
      <c r="F186" s="821"/>
      <c r="G186" s="821"/>
      <c r="H186" s="821"/>
      <c r="I186" s="821"/>
      <c r="J186" s="821"/>
      <c r="K186" s="821"/>
    </row>
    <row r="187" spans="2:12" ht="15.75" customHeight="1" x14ac:dyDescent="0.25">
      <c r="B187" s="7"/>
      <c r="C187" s="7"/>
      <c r="D187" s="7"/>
      <c r="E187" s="7"/>
      <c r="F187" s="7"/>
      <c r="G187" s="7"/>
      <c r="H187" s="7"/>
      <c r="I187" s="7"/>
      <c r="J187" s="7"/>
      <c r="K187" s="7"/>
    </row>
    <row r="188" spans="2:12" ht="16.7" customHeight="1" x14ac:dyDescent="0.25">
      <c r="B188"/>
      <c r="C188" s="7"/>
      <c r="D188" s="10" t="s">
        <v>262</v>
      </c>
      <c r="E188" s="7"/>
      <c r="F188" s="7"/>
      <c r="G188" s="7"/>
      <c r="H188" s="7"/>
      <c r="I188" s="7"/>
      <c r="J188" s="7"/>
      <c r="K188" s="7"/>
    </row>
    <row r="189" spans="2:12" ht="15" customHeight="1" x14ac:dyDescent="0.25">
      <c r="B189" s="7"/>
      <c r="C189" s="7"/>
      <c r="D189" s="7"/>
      <c r="E189" s="7"/>
      <c r="F189" s="7"/>
      <c r="G189" s="7"/>
      <c r="H189" s="7"/>
      <c r="I189" s="7"/>
      <c r="J189" s="7"/>
      <c r="K189" s="7"/>
    </row>
    <row r="191" spans="2:12" x14ac:dyDescent="0.25">
      <c r="B191"/>
      <c r="C191" s="810" t="s">
        <v>265</v>
      </c>
      <c r="D191" s="810"/>
      <c r="E191" s="810"/>
      <c r="F191" s="810"/>
      <c r="G191" s="810"/>
      <c r="H191" s="810"/>
      <c r="I191" s="810"/>
      <c r="J191" s="810"/>
      <c r="K191" s="810"/>
    </row>
    <row r="192" spans="2:12" x14ac:dyDescent="0.25">
      <c r="C192" s="3"/>
      <c r="D192" s="3"/>
      <c r="E192" s="3"/>
      <c r="F192" s="3"/>
      <c r="G192" s="3"/>
      <c r="H192" s="3"/>
      <c r="I192" s="3"/>
      <c r="J192" s="3"/>
      <c r="K192" s="3"/>
    </row>
    <row r="193" spans="2:12" x14ac:dyDescent="0.25">
      <c r="B193"/>
      <c r="C193" s="816" t="s">
        <v>266</v>
      </c>
      <c r="D193" s="816"/>
      <c r="E193" s="816"/>
      <c r="F193" s="816"/>
      <c r="G193" s="816"/>
      <c r="H193" s="816"/>
      <c r="I193" s="816"/>
      <c r="J193" s="816"/>
      <c r="K193" s="816"/>
      <c r="L193" s="26">
        <f>873.34*1.18</f>
        <v>1030.54</v>
      </c>
    </row>
    <row r="194" spans="2:12" x14ac:dyDescent="0.25">
      <c r="C194" s="3"/>
      <c r="D194" s="3"/>
      <c r="E194" s="3"/>
      <c r="F194" s="3"/>
      <c r="G194" s="3"/>
      <c r="H194" s="3"/>
      <c r="I194" s="3"/>
      <c r="J194" s="3"/>
      <c r="K194" s="3"/>
    </row>
    <row r="195" spans="2:12" x14ac:dyDescent="0.25">
      <c r="B195" s="24" t="s">
        <v>93</v>
      </c>
      <c r="C195" s="816" t="s">
        <v>260</v>
      </c>
      <c r="D195" s="816"/>
      <c r="E195" s="816"/>
      <c r="F195" s="816"/>
      <c r="G195" s="816"/>
      <c r="H195" s="816"/>
      <c r="I195" s="816"/>
      <c r="J195" s="816"/>
      <c r="K195" s="816"/>
      <c r="L195" s="36">
        <f>L169</f>
        <v>1.1499999999999999</v>
      </c>
    </row>
    <row r="197" spans="2:12" x14ac:dyDescent="0.25">
      <c r="B197" s="17" t="s">
        <v>537</v>
      </c>
      <c r="C197" s="26">
        <f>L193*L195</f>
        <v>1185.1199999999999</v>
      </c>
    </row>
    <row r="199" spans="2:12" ht="27.75" customHeight="1" x14ac:dyDescent="0.25">
      <c r="B199" s="821" t="s">
        <v>267</v>
      </c>
      <c r="C199" s="821"/>
      <c r="D199" s="821"/>
      <c r="E199" s="821"/>
      <c r="F199" s="821"/>
      <c r="G199" s="821"/>
      <c r="H199" s="821"/>
      <c r="I199" s="821"/>
      <c r="J199" s="821"/>
      <c r="K199" s="821"/>
    </row>
    <row r="201" spans="2:12" x14ac:dyDescent="0.25">
      <c r="B201"/>
      <c r="D201" s="10" t="s">
        <v>262</v>
      </c>
    </row>
    <row r="203" spans="2:12" x14ac:dyDescent="0.25">
      <c r="B203"/>
      <c r="C203" s="810" t="s">
        <v>244</v>
      </c>
      <c r="D203" s="810"/>
      <c r="E203" s="810"/>
      <c r="F203" s="810"/>
      <c r="G203" s="810"/>
      <c r="H203" s="810"/>
      <c r="I203" s="810"/>
      <c r="J203" s="810"/>
      <c r="K203" s="810"/>
    </row>
    <row r="204" spans="2:12" x14ac:dyDescent="0.25">
      <c r="C204" s="3"/>
      <c r="D204" s="3"/>
      <c r="E204" s="3"/>
      <c r="F204" s="3"/>
      <c r="G204" s="3"/>
      <c r="H204" s="3"/>
      <c r="I204" s="3"/>
      <c r="J204" s="3"/>
      <c r="K204" s="3"/>
    </row>
    <row r="205" spans="2:12" x14ac:dyDescent="0.25">
      <c r="B205"/>
      <c r="C205" s="816" t="s">
        <v>268</v>
      </c>
      <c r="D205" s="816"/>
      <c r="E205" s="816"/>
      <c r="F205" s="816"/>
      <c r="G205" s="816"/>
      <c r="H205" s="816"/>
      <c r="I205" s="816"/>
      <c r="J205" s="816"/>
      <c r="K205" s="816"/>
      <c r="L205" s="36">
        <f>4.40565525*1.18</f>
        <v>5.1986731949999996</v>
      </c>
    </row>
    <row r="206" spans="2:12" x14ac:dyDescent="0.25">
      <c r="C206" s="3"/>
      <c r="D206" s="3"/>
      <c r="E206" s="3"/>
      <c r="F206" s="3"/>
      <c r="G206" s="3"/>
      <c r="H206" s="3"/>
      <c r="I206" s="3"/>
      <c r="J206" s="3"/>
      <c r="K206" s="3"/>
    </row>
    <row r="207" spans="2:12" x14ac:dyDescent="0.25">
      <c r="B207" s="24" t="s">
        <v>93</v>
      </c>
      <c r="C207" s="816" t="s">
        <v>260</v>
      </c>
      <c r="D207" s="816"/>
      <c r="E207" s="816"/>
      <c r="F207" s="816"/>
      <c r="G207" s="816"/>
      <c r="H207" s="816"/>
      <c r="I207" s="816"/>
      <c r="J207" s="816"/>
      <c r="K207" s="816"/>
      <c r="L207" s="36">
        <f>L169</f>
        <v>1.1499999999999999</v>
      </c>
    </row>
    <row r="209" spans="2:12" x14ac:dyDescent="0.25">
      <c r="B209" s="10" t="s">
        <v>538</v>
      </c>
      <c r="C209" s="36">
        <f>L205*L207</f>
        <v>5.9784741742499996</v>
      </c>
    </row>
    <row r="211" spans="2:12" ht="58.5" customHeight="1" x14ac:dyDescent="0.25">
      <c r="B211" s="821" t="s">
        <v>274</v>
      </c>
      <c r="C211" s="821"/>
      <c r="D211" s="821"/>
      <c r="E211" s="821"/>
      <c r="F211" s="821"/>
      <c r="G211" s="821"/>
      <c r="H211" s="821"/>
      <c r="I211" s="821"/>
      <c r="J211" s="821"/>
      <c r="K211" s="821"/>
    </row>
    <row r="213" spans="2:12" x14ac:dyDescent="0.25">
      <c r="B213"/>
      <c r="C213"/>
      <c r="D213"/>
    </row>
    <row r="215" spans="2:12" ht="26.25" customHeight="1" x14ac:dyDescent="0.25">
      <c r="B215"/>
      <c r="C215" s="810" t="s">
        <v>275</v>
      </c>
      <c r="D215" s="810"/>
      <c r="E215" s="810"/>
      <c r="F215" s="810"/>
      <c r="G215" s="810"/>
      <c r="H215" s="810"/>
      <c r="I215" s="810"/>
      <c r="J215" s="810"/>
      <c r="K215" s="810"/>
      <c r="L215" s="26" t="e">
        <f>('225 ОБЩАЯ'!#REF!+'226 ОБЩАЯ'!B26)/C33</f>
        <v>#REF!</v>
      </c>
    </row>
    <row r="216" spans="2:12" x14ac:dyDescent="0.25">
      <c r="C216" s="7"/>
      <c r="D216" s="7"/>
      <c r="E216" s="7"/>
      <c r="F216" s="7"/>
      <c r="G216" s="7"/>
      <c r="H216" s="7"/>
      <c r="I216" s="7"/>
      <c r="J216" s="7"/>
      <c r="K216" s="7"/>
      <c r="L216" s="35"/>
    </row>
    <row r="217" spans="2:12" ht="29.25" customHeight="1" x14ac:dyDescent="0.25">
      <c r="B217"/>
      <c r="C217" s="809" t="s">
        <v>276</v>
      </c>
      <c r="D217" s="809"/>
      <c r="E217" s="809"/>
      <c r="F217" s="809"/>
      <c r="G217" s="809"/>
      <c r="H217" s="809"/>
      <c r="I217" s="809"/>
      <c r="J217" s="809"/>
      <c r="K217" s="809"/>
      <c r="L217" s="41">
        <v>1.5</v>
      </c>
    </row>
    <row r="218" spans="2:12" ht="18.75" customHeight="1" x14ac:dyDescent="0.25">
      <c r="C218" s="7"/>
      <c r="D218" s="7"/>
      <c r="E218" s="7"/>
      <c r="F218" s="7"/>
      <c r="G218" s="7"/>
      <c r="H218" s="7"/>
      <c r="I218" s="7"/>
      <c r="J218" s="7"/>
      <c r="K218" s="7"/>
      <c r="L218" s="35"/>
    </row>
    <row r="219" spans="2:12" ht="25.5" customHeight="1" x14ac:dyDescent="0.25">
      <c r="B219"/>
      <c r="C219" s="809" t="s">
        <v>277</v>
      </c>
      <c r="D219" s="809"/>
      <c r="E219" s="809"/>
      <c r="F219" s="809"/>
      <c r="G219" s="809"/>
      <c r="H219" s="809"/>
      <c r="I219" s="809"/>
      <c r="J219" s="809"/>
      <c r="K219" s="809"/>
      <c r="L219" s="26">
        <v>0</v>
      </c>
    </row>
    <row r="221" spans="2:12" x14ac:dyDescent="0.25">
      <c r="B221" s="38"/>
      <c r="C221" s="26" t="e">
        <f>L215*L217+L219</f>
        <v>#REF!</v>
      </c>
    </row>
    <row r="223" spans="2:12" ht="24.75" customHeight="1" x14ac:dyDescent="0.25">
      <c r="B223" s="821" t="s">
        <v>282</v>
      </c>
      <c r="C223" s="821"/>
      <c r="D223" s="821"/>
      <c r="E223" s="821"/>
      <c r="F223" s="821"/>
      <c r="G223" s="821"/>
      <c r="H223" s="821"/>
      <c r="I223" s="821"/>
      <c r="J223" s="821"/>
      <c r="K223" s="821"/>
    </row>
    <row r="225" spans="2:12" x14ac:dyDescent="0.25">
      <c r="B225"/>
      <c r="C225"/>
      <c r="E225" s="10" t="s">
        <v>930</v>
      </c>
    </row>
    <row r="228" spans="2:12" x14ac:dyDescent="0.25">
      <c r="B228"/>
      <c r="C228" s="21" t="s">
        <v>278</v>
      </c>
      <c r="D228" s="21"/>
      <c r="E228" s="21"/>
      <c r="F228" s="21"/>
      <c r="G228" s="21"/>
      <c r="H228" s="21"/>
      <c r="I228" s="21"/>
      <c r="J228" s="21"/>
      <c r="K228" s="21"/>
      <c r="L228" s="26">
        <f>90047/632</f>
        <v>142.47999999999999</v>
      </c>
    </row>
    <row r="229" spans="2:12" x14ac:dyDescent="0.25">
      <c r="C229" s="21"/>
      <c r="D229" s="21"/>
      <c r="E229" s="21"/>
      <c r="F229" s="21"/>
      <c r="G229" s="21"/>
      <c r="H229" s="21"/>
      <c r="I229" s="21"/>
      <c r="J229" s="21"/>
      <c r="K229" s="21"/>
    </row>
    <row r="230" spans="2:12" x14ac:dyDescent="0.25">
      <c r="B230"/>
      <c r="C230" s="816" t="s">
        <v>279</v>
      </c>
      <c r="D230" s="816"/>
      <c r="E230" s="816"/>
      <c r="F230" s="816"/>
      <c r="G230" s="816"/>
      <c r="H230" s="816"/>
      <c r="I230" s="816"/>
      <c r="J230" s="816"/>
      <c r="K230" s="816"/>
      <c r="L230" s="36">
        <f>L94</f>
        <v>1.1499999999999999</v>
      </c>
    </row>
    <row r="232" spans="2:12" x14ac:dyDescent="0.25">
      <c r="B232" s="40" t="s">
        <v>541</v>
      </c>
      <c r="C232" s="26">
        <f>L228*L230</f>
        <v>163.85</v>
      </c>
    </row>
    <row r="234" spans="2:12" ht="27.75" customHeight="1" x14ac:dyDescent="0.25">
      <c r="B234" s="821" t="s">
        <v>284</v>
      </c>
      <c r="C234" s="821"/>
      <c r="D234" s="821"/>
      <c r="E234" s="821"/>
      <c r="F234" s="821"/>
      <c r="G234" s="821"/>
      <c r="H234" s="821"/>
      <c r="I234" s="821"/>
      <c r="J234" s="821"/>
      <c r="K234" s="821"/>
    </row>
    <row r="236" spans="2:12" x14ac:dyDescent="0.25">
      <c r="B236"/>
      <c r="C236"/>
      <c r="E236" s="10" t="s">
        <v>930</v>
      </c>
    </row>
    <row r="239" spans="2:12" x14ac:dyDescent="0.25">
      <c r="B239"/>
      <c r="C239" s="816" t="s">
        <v>285</v>
      </c>
      <c r="D239" s="816"/>
      <c r="E239" s="816"/>
      <c r="F239" s="816"/>
      <c r="G239" s="816"/>
      <c r="H239" s="816"/>
      <c r="I239" s="816"/>
      <c r="J239" s="816"/>
      <c r="K239" s="816"/>
      <c r="L239" s="26">
        <f>(5000)/632</f>
        <v>7.91</v>
      </c>
    </row>
    <row r="240" spans="2:12" x14ac:dyDescent="0.25">
      <c r="C240" s="21"/>
      <c r="D240" s="21"/>
      <c r="E240" s="21"/>
      <c r="F240" s="21"/>
      <c r="G240" s="21"/>
      <c r="H240" s="21"/>
      <c r="I240" s="21"/>
      <c r="J240" s="21"/>
      <c r="K240" s="21"/>
    </row>
    <row r="241" spans="2:12" x14ac:dyDescent="0.25">
      <c r="B241"/>
      <c r="C241" s="816" t="s">
        <v>286</v>
      </c>
      <c r="D241" s="816"/>
      <c r="E241" s="816"/>
      <c r="F241" s="816"/>
      <c r="G241" s="816"/>
      <c r="H241" s="816"/>
      <c r="I241" s="816"/>
      <c r="J241" s="816"/>
      <c r="K241" s="816"/>
      <c r="L241" s="36">
        <f>L94</f>
        <v>1.1499999999999999</v>
      </c>
    </row>
    <row r="243" spans="2:12" x14ac:dyDescent="0.25">
      <c r="B243" s="40" t="s">
        <v>542</v>
      </c>
      <c r="C243" s="26">
        <f>L239*L241</f>
        <v>9.1</v>
      </c>
    </row>
    <row r="246" spans="2:12" ht="39.75" customHeight="1" x14ac:dyDescent="0.25">
      <c r="B246" s="821" t="s">
        <v>287</v>
      </c>
      <c r="C246" s="821"/>
      <c r="D246" s="821"/>
      <c r="E246" s="821"/>
      <c r="F246" s="821"/>
      <c r="G246" s="821"/>
      <c r="H246" s="821"/>
      <c r="I246" s="821"/>
      <c r="J246" s="821"/>
      <c r="K246" s="821"/>
    </row>
    <row r="248" spans="2:12" x14ac:dyDescent="0.25">
      <c r="B248"/>
      <c r="C248"/>
      <c r="D248" s="10" t="s">
        <v>930</v>
      </c>
    </row>
    <row r="251" spans="2:12" ht="38.450000000000003" customHeight="1" x14ac:dyDescent="0.25">
      <c r="B251"/>
      <c r="C251" s="820" t="s">
        <v>288</v>
      </c>
      <c r="D251" s="820"/>
      <c r="E251" s="820"/>
      <c r="F251" s="820"/>
      <c r="G251" s="820"/>
      <c r="H251" s="820"/>
      <c r="I251" s="820"/>
      <c r="J251" s="820"/>
      <c r="K251" s="820"/>
      <c r="L251" s="26">
        <f>C266</f>
        <v>64795.08</v>
      </c>
    </row>
    <row r="252" spans="2:12" x14ac:dyDescent="0.25">
      <c r="C252" s="32"/>
      <c r="D252" s="32"/>
      <c r="E252" s="32"/>
      <c r="F252" s="32"/>
      <c r="G252" s="32"/>
      <c r="H252" s="32"/>
      <c r="I252" s="32"/>
      <c r="J252" s="32"/>
      <c r="K252" s="32"/>
    </row>
    <row r="253" spans="2:12" ht="27.75" customHeight="1" x14ac:dyDescent="0.25">
      <c r="B253"/>
      <c r="C253" s="820" t="s">
        <v>289</v>
      </c>
      <c r="D253" s="820"/>
      <c r="E253" s="820"/>
      <c r="F253" s="820"/>
      <c r="G253" s="820"/>
      <c r="H253" s="820"/>
      <c r="I253" s="820"/>
      <c r="J253" s="820"/>
      <c r="K253" s="820"/>
      <c r="L253" s="37">
        <f>C33</f>
        <v>633</v>
      </c>
    </row>
    <row r="254" spans="2:12" ht="15.75" customHeight="1" x14ac:dyDescent="0.25">
      <c r="B254"/>
      <c r="C254" s="31"/>
      <c r="D254" s="31"/>
      <c r="E254" s="31"/>
      <c r="F254" s="31"/>
      <c r="G254" s="31"/>
      <c r="H254" s="31"/>
      <c r="I254" s="31"/>
      <c r="J254" s="31"/>
      <c r="K254" s="31"/>
    </row>
    <row r="255" spans="2:12" ht="15" customHeight="1" x14ac:dyDescent="0.25">
      <c r="B255" s="33" t="s">
        <v>543</v>
      </c>
      <c r="C255" s="56">
        <f>L251/L253</f>
        <v>102.36</v>
      </c>
      <c r="D255" s="31"/>
      <c r="E255" s="31"/>
      <c r="F255" s="31"/>
      <c r="G255" s="31"/>
      <c r="H255" s="31"/>
      <c r="I255" s="31"/>
      <c r="J255" s="31"/>
      <c r="K255" s="31"/>
    </row>
    <row r="257" spans="2:12" x14ac:dyDescent="0.25">
      <c r="B257" s="39" t="s">
        <v>544</v>
      </c>
      <c r="C257"/>
      <c r="F257" s="10" t="s">
        <v>930</v>
      </c>
    </row>
    <row r="260" spans="2:12" ht="51" customHeight="1" x14ac:dyDescent="0.25">
      <c r="B260"/>
      <c r="C260" s="809" t="s">
        <v>480</v>
      </c>
      <c r="D260" s="809"/>
      <c r="E260" s="809"/>
      <c r="F260" s="809"/>
      <c r="G260" s="809"/>
      <c r="H260" s="809"/>
      <c r="I260" s="809"/>
      <c r="J260" s="809"/>
      <c r="K260" s="809"/>
      <c r="L260" s="43">
        <f>(13889.72+45557.96)/C33</f>
        <v>93.91</v>
      </c>
    </row>
    <row r="261" spans="2:12" x14ac:dyDescent="0.25">
      <c r="L261" s="42"/>
    </row>
    <row r="262" spans="2:12" ht="26.25" customHeight="1" x14ac:dyDescent="0.25">
      <c r="B262"/>
      <c r="C262" s="809" t="s">
        <v>506</v>
      </c>
      <c r="D262" s="809"/>
      <c r="E262" s="809"/>
      <c r="F262" s="809"/>
      <c r="G262" s="809"/>
      <c r="H262" s="809"/>
      <c r="I262" s="809"/>
      <c r="J262" s="809"/>
      <c r="K262" s="809"/>
      <c r="L262" s="43">
        <v>1.0900000000000001</v>
      </c>
    </row>
    <row r="263" spans="2:12" x14ac:dyDescent="0.25">
      <c r="L263" s="42"/>
    </row>
    <row r="264" spans="2:12" ht="40.5" customHeight="1" x14ac:dyDescent="0.25">
      <c r="B264"/>
      <c r="C264" s="810" t="s">
        <v>507</v>
      </c>
      <c r="D264" s="810"/>
      <c r="E264" s="810"/>
      <c r="F264" s="810"/>
      <c r="G264" s="810"/>
      <c r="H264" s="810"/>
      <c r="I264" s="810"/>
      <c r="J264" s="810"/>
      <c r="K264" s="810"/>
      <c r="L264" s="43">
        <f>C285</f>
        <v>1</v>
      </c>
    </row>
    <row r="265" spans="2:12" ht="15.75" customHeight="1" x14ac:dyDescent="0.25">
      <c r="B265"/>
      <c r="C265" s="7"/>
      <c r="D265" s="7"/>
      <c r="E265" s="7"/>
      <c r="F265" s="7"/>
      <c r="G265" s="7"/>
      <c r="H265" s="7"/>
      <c r="I265" s="7"/>
      <c r="J265" s="7"/>
      <c r="K265" s="7"/>
    </row>
    <row r="266" spans="2:12" x14ac:dyDescent="0.25">
      <c r="B266" s="33" t="str">
        <f>B257</f>
        <v>Z очер_спо=</v>
      </c>
      <c r="C266" s="34">
        <f>L260*C33*L262*L264</f>
        <v>64795.08</v>
      </c>
      <c r="D266" s="7"/>
      <c r="E266" s="7"/>
      <c r="F266" s="7"/>
      <c r="G266" s="7"/>
      <c r="H266" s="7"/>
      <c r="I266" s="7"/>
      <c r="J266" s="7"/>
      <c r="K266" s="7"/>
    </row>
    <row r="267" spans="2:12" ht="13.5" customHeight="1" x14ac:dyDescent="0.25"/>
    <row r="268" spans="2:12" x14ac:dyDescent="0.25">
      <c r="B268"/>
      <c r="C268"/>
    </row>
    <row r="269" spans="2:12" x14ac:dyDescent="0.25">
      <c r="B269" s="39" t="s">
        <v>545</v>
      </c>
      <c r="F269" s="10" t="s">
        <v>930</v>
      </c>
    </row>
    <row r="273" spans="2:12" x14ac:dyDescent="0.25">
      <c r="B273" s="9" t="s">
        <v>520</v>
      </c>
      <c r="C273" s="809" t="s">
        <v>508</v>
      </c>
      <c r="D273" s="809"/>
      <c r="E273" s="809"/>
      <c r="F273" s="809"/>
      <c r="G273" s="809"/>
      <c r="H273" s="809"/>
      <c r="I273" s="809"/>
      <c r="J273" s="809"/>
      <c r="K273" s="809"/>
      <c r="L273" s="26">
        <f>6443.5+2203.9+431.7+2065</f>
        <v>11144.1</v>
      </c>
    </row>
    <row r="274" spans="2:12" x14ac:dyDescent="0.25">
      <c r="B274" s="16"/>
      <c r="C274" s="7"/>
      <c r="D274" s="7"/>
      <c r="E274" s="7"/>
      <c r="F274" s="7"/>
      <c r="G274" s="7"/>
      <c r="H274" s="7"/>
      <c r="I274" s="7"/>
      <c r="J274" s="7"/>
      <c r="K274" s="7"/>
    </row>
    <row r="275" spans="2:12" x14ac:dyDescent="0.25">
      <c r="B275" s="16" t="s">
        <v>521</v>
      </c>
      <c r="C275" s="809" t="s">
        <v>509</v>
      </c>
      <c r="D275" s="809"/>
      <c r="E275" s="809"/>
      <c r="F275" s="809"/>
      <c r="G275" s="809"/>
      <c r="H275" s="809"/>
      <c r="I275" s="809"/>
      <c r="J275" s="809"/>
      <c r="K275" s="809"/>
    </row>
    <row r="276" spans="2:12" x14ac:dyDescent="0.25">
      <c r="B276" s="16"/>
      <c r="C276" s="7"/>
      <c r="D276" s="7"/>
      <c r="E276" s="7"/>
      <c r="F276" s="7"/>
      <c r="G276" s="7"/>
      <c r="H276" s="7"/>
      <c r="I276" s="7"/>
      <c r="J276" s="7"/>
      <c r="K276" s="7"/>
    </row>
    <row r="277" spans="2:12" x14ac:dyDescent="0.25">
      <c r="B277" s="16" t="s">
        <v>522</v>
      </c>
      <c r="C277" s="809" t="s">
        <v>510</v>
      </c>
      <c r="D277" s="809"/>
      <c r="E277" s="809"/>
      <c r="F277" s="809"/>
      <c r="G277" s="809"/>
      <c r="H277" s="809"/>
      <c r="I277" s="809"/>
      <c r="J277" s="809"/>
      <c r="K277" s="809"/>
      <c r="L277" s="26">
        <f>L273</f>
        <v>11144.1</v>
      </c>
    </row>
    <row r="278" spans="2:12" x14ac:dyDescent="0.25">
      <c r="B278" s="16"/>
      <c r="C278" s="7"/>
      <c r="D278" s="7"/>
      <c r="E278" s="7"/>
      <c r="F278" s="7"/>
      <c r="G278" s="7"/>
      <c r="H278" s="7"/>
      <c r="I278" s="7"/>
      <c r="J278" s="7"/>
      <c r="K278" s="7"/>
    </row>
    <row r="279" spans="2:12" x14ac:dyDescent="0.25">
      <c r="B279" s="9" t="s">
        <v>523</v>
      </c>
      <c r="C279" s="809" t="s">
        <v>511</v>
      </c>
      <c r="D279" s="809"/>
      <c r="E279" s="809"/>
      <c r="F279" s="809"/>
      <c r="G279" s="809"/>
      <c r="H279" s="809"/>
      <c r="I279" s="809"/>
      <c r="J279" s="809"/>
      <c r="K279" s="809"/>
    </row>
    <row r="280" spans="2:12" x14ac:dyDescent="0.25">
      <c r="C280" s="7"/>
      <c r="D280" s="7"/>
      <c r="E280" s="7"/>
      <c r="F280" s="7"/>
      <c r="G280" s="7"/>
      <c r="H280" s="7"/>
      <c r="I280" s="7"/>
      <c r="J280" s="7"/>
      <c r="K280" s="7"/>
    </row>
    <row r="281" spans="2:12" ht="26.25" customHeight="1" x14ac:dyDescent="0.25">
      <c r="B281" s="9" t="s">
        <v>518</v>
      </c>
      <c r="C281" s="809" t="s">
        <v>512</v>
      </c>
      <c r="D281" s="809"/>
      <c r="E281" s="809"/>
      <c r="F281" s="809"/>
      <c r="G281" s="809"/>
      <c r="H281" s="809"/>
      <c r="I281" s="809"/>
      <c r="J281" s="809"/>
      <c r="K281" s="809"/>
      <c r="L281" s="36">
        <f>365</f>
        <v>365</v>
      </c>
    </row>
    <row r="282" spans="2:12" x14ac:dyDescent="0.25">
      <c r="B282" s="9"/>
      <c r="C282" s="7"/>
      <c r="D282" s="7"/>
      <c r="E282" s="7"/>
      <c r="F282" s="7"/>
      <c r="G282" s="7"/>
      <c r="H282" s="7"/>
      <c r="I282" s="7"/>
      <c r="J282" s="7"/>
      <c r="K282" s="7"/>
      <c r="L282" s="9"/>
    </row>
    <row r="283" spans="2:12" ht="27.2" customHeight="1" x14ac:dyDescent="0.25">
      <c r="B283" s="9" t="s">
        <v>519</v>
      </c>
      <c r="C283" s="809" t="s">
        <v>517</v>
      </c>
      <c r="D283" s="809"/>
      <c r="E283" s="809"/>
      <c r="F283" s="809"/>
      <c r="G283" s="809"/>
      <c r="H283" s="809"/>
      <c r="I283" s="809"/>
      <c r="J283" s="809"/>
      <c r="K283" s="809"/>
      <c r="L283" s="36">
        <f>365</f>
        <v>365</v>
      </c>
    </row>
    <row r="285" spans="2:12" x14ac:dyDescent="0.25">
      <c r="B285" s="13" t="str">
        <f>B269</f>
        <v>K изм_площ    =</v>
      </c>
      <c r="C285" s="26">
        <f>(L273*L281/12)/(L277*L283/12)</f>
        <v>1</v>
      </c>
    </row>
    <row r="287" spans="2:12" ht="27.2" customHeight="1" x14ac:dyDescent="0.25">
      <c r="B287" s="821" t="s">
        <v>524</v>
      </c>
      <c r="C287" s="821"/>
      <c r="D287" s="821"/>
      <c r="E287" s="821"/>
      <c r="F287" s="821"/>
      <c r="G287" s="821"/>
      <c r="H287" s="821"/>
      <c r="I287" s="821"/>
      <c r="J287" s="821"/>
      <c r="K287" s="821"/>
    </row>
    <row r="289" spans="2:12" x14ac:dyDescent="0.25">
      <c r="B289"/>
    </row>
    <row r="290" spans="2:12" x14ac:dyDescent="0.25">
      <c r="E290" s="10" t="s">
        <v>930</v>
      </c>
    </row>
    <row r="293" spans="2:12" ht="29.25" customHeight="1" x14ac:dyDescent="0.25">
      <c r="B293"/>
      <c r="C293" s="810" t="s">
        <v>525</v>
      </c>
      <c r="D293" s="810"/>
      <c r="E293" s="810"/>
      <c r="F293" s="810"/>
      <c r="G293" s="810"/>
      <c r="H293" s="810"/>
      <c r="I293" s="810"/>
      <c r="J293" s="810"/>
      <c r="K293" s="810"/>
      <c r="L293" s="26">
        <f>100*83*12</f>
        <v>99600</v>
      </c>
    </row>
    <row r="294" spans="2:12" x14ac:dyDescent="0.25">
      <c r="C294" s="7"/>
      <c r="D294" s="7"/>
      <c r="E294" s="7"/>
      <c r="F294" s="7"/>
      <c r="G294" s="7"/>
      <c r="H294" s="7"/>
      <c r="I294" s="7"/>
      <c r="J294" s="7"/>
      <c r="K294" s="7"/>
    </row>
    <row r="295" spans="2:12" ht="26.25" customHeight="1" x14ac:dyDescent="0.25">
      <c r="B295"/>
      <c r="C295" s="810" t="s">
        <v>526</v>
      </c>
      <c r="D295" s="810"/>
      <c r="E295" s="810"/>
      <c r="F295" s="810"/>
      <c r="G295" s="810"/>
      <c r="H295" s="810"/>
      <c r="I295" s="810"/>
      <c r="J295" s="810"/>
      <c r="K295" s="810"/>
      <c r="L295" s="58">
        <v>0</v>
      </c>
    </row>
    <row r="296" spans="2:12" x14ac:dyDescent="0.25">
      <c r="C296" s="7"/>
      <c r="D296" s="7"/>
      <c r="E296" s="7"/>
      <c r="F296" s="7"/>
      <c r="G296" s="7"/>
      <c r="H296" s="7"/>
      <c r="I296" s="7"/>
      <c r="J296" s="7"/>
      <c r="K296" s="7"/>
    </row>
    <row r="297" spans="2:12" ht="14.25" customHeight="1" x14ac:dyDescent="0.25">
      <c r="B297"/>
      <c r="C297" s="809" t="s">
        <v>527</v>
      </c>
      <c r="D297" s="809"/>
      <c r="E297" s="809"/>
      <c r="F297" s="809"/>
      <c r="G297" s="809"/>
      <c r="H297" s="809"/>
      <c r="I297" s="809"/>
      <c r="J297" s="809"/>
      <c r="K297" s="809"/>
      <c r="L297" s="37">
        <f>C33</f>
        <v>633</v>
      </c>
    </row>
    <row r="299" spans="2:12" x14ac:dyDescent="0.25">
      <c r="B299" s="36" t="s">
        <v>564</v>
      </c>
      <c r="C299" s="26">
        <f>L293/L297</f>
        <v>157.35</v>
      </c>
    </row>
    <row r="301" spans="2:12" x14ac:dyDescent="0.25">
      <c r="B301" s="9" t="s">
        <v>528</v>
      </c>
    </row>
    <row r="303" spans="2:12" x14ac:dyDescent="0.25">
      <c r="B303" s="45" t="s">
        <v>549</v>
      </c>
      <c r="C303" s="9" t="s">
        <v>550</v>
      </c>
    </row>
    <row r="304" spans="2:12" x14ac:dyDescent="0.25">
      <c r="C304" s="3"/>
    </row>
    <row r="305" spans="2:12" ht="29.25" customHeight="1" x14ac:dyDescent="0.25">
      <c r="B305" s="44" t="s">
        <v>546</v>
      </c>
      <c r="C305" s="809" t="s">
        <v>529</v>
      </c>
      <c r="D305" s="809"/>
      <c r="E305" s="809"/>
      <c r="F305" s="809"/>
      <c r="G305" s="809"/>
      <c r="H305" s="809"/>
      <c r="I305" s="809"/>
      <c r="J305" s="809"/>
      <c r="K305" s="809"/>
    </row>
    <row r="306" spans="2:12" x14ac:dyDescent="0.25">
      <c r="C306" s="21"/>
      <c r="D306" s="21"/>
      <c r="E306" s="21"/>
      <c r="F306" s="21"/>
      <c r="G306" s="21"/>
      <c r="H306" s="21"/>
      <c r="I306" s="21"/>
      <c r="J306" s="21"/>
      <c r="K306" s="21"/>
    </row>
    <row r="307" spans="2:12" ht="24.75" customHeight="1" x14ac:dyDescent="0.25">
      <c r="B307" s="1" t="s">
        <v>547</v>
      </c>
      <c r="C307" s="809" t="s">
        <v>530</v>
      </c>
      <c r="D307" s="809"/>
      <c r="E307" s="809"/>
      <c r="F307" s="809"/>
      <c r="G307" s="809"/>
      <c r="H307" s="809"/>
      <c r="I307" s="809"/>
      <c r="J307" s="809"/>
      <c r="K307" s="809"/>
      <c r="L307" s="26">
        <f>3325</f>
        <v>3325</v>
      </c>
    </row>
    <row r="308" spans="2:12" x14ac:dyDescent="0.25">
      <c r="B308" s="16"/>
      <c r="C308" s="21"/>
      <c r="D308" s="21"/>
      <c r="E308" s="21"/>
      <c r="F308" s="21"/>
      <c r="G308" s="21"/>
      <c r="H308" s="21"/>
      <c r="I308" s="21"/>
      <c r="J308" s="21"/>
      <c r="K308" s="21"/>
      <c r="L308" s="9"/>
    </row>
    <row r="309" spans="2:12" x14ac:dyDescent="0.25">
      <c r="B309" s="1"/>
      <c r="C309" s="816" t="s">
        <v>243</v>
      </c>
      <c r="D309" s="816"/>
      <c r="E309" s="816"/>
      <c r="F309" s="816"/>
      <c r="G309" s="816"/>
      <c r="H309" s="816"/>
      <c r="I309" s="816"/>
      <c r="J309" s="816"/>
      <c r="K309" s="816"/>
      <c r="L309" s="26">
        <f>L152</f>
        <v>1185.1199999999999</v>
      </c>
    </row>
    <row r="310" spans="2:12" x14ac:dyDescent="0.25">
      <c r="B310" s="16"/>
      <c r="C310" s="21"/>
      <c r="D310" s="21"/>
      <c r="E310" s="21"/>
      <c r="F310" s="21"/>
      <c r="G310" s="21"/>
      <c r="H310" s="21"/>
      <c r="I310" s="21"/>
      <c r="J310" s="21"/>
      <c r="K310" s="21"/>
      <c r="L310" s="9"/>
    </row>
    <row r="311" spans="2:12" ht="26.25" customHeight="1" x14ac:dyDescent="0.25">
      <c r="B311" s="1" t="s">
        <v>548</v>
      </c>
      <c r="C311" s="810" t="s">
        <v>531</v>
      </c>
      <c r="D311" s="810"/>
      <c r="E311" s="810"/>
      <c r="F311" s="810"/>
      <c r="G311" s="810"/>
      <c r="H311" s="810"/>
      <c r="I311" s="810"/>
      <c r="J311" s="810"/>
      <c r="K311" s="810"/>
      <c r="L311" s="26">
        <f>694900</f>
        <v>694900</v>
      </c>
    </row>
    <row r="312" spans="2:12" x14ac:dyDescent="0.25">
      <c r="B312" s="16"/>
      <c r="C312" s="21"/>
      <c r="D312" s="21"/>
      <c r="E312" s="21"/>
      <c r="F312" s="21"/>
      <c r="G312" s="21"/>
      <c r="H312" s="21"/>
      <c r="I312" s="21"/>
      <c r="J312" s="21"/>
      <c r="K312" s="21"/>
      <c r="L312" s="9"/>
    </row>
    <row r="313" spans="2:12" x14ac:dyDescent="0.25">
      <c r="B313" s="1"/>
      <c r="C313" s="819" t="s">
        <v>244</v>
      </c>
      <c r="D313" s="819"/>
      <c r="E313" s="819"/>
      <c r="F313" s="819"/>
      <c r="G313" s="819"/>
      <c r="H313" s="819"/>
      <c r="I313" s="819"/>
      <c r="J313" s="819"/>
      <c r="K313" s="819"/>
      <c r="L313" s="36">
        <f>L154</f>
        <v>5.9784741742499996</v>
      </c>
    </row>
    <row r="314" spans="2:12" x14ac:dyDescent="0.25">
      <c r="B314" s="16"/>
    </row>
    <row r="315" spans="2:12" ht="15" customHeight="1" x14ac:dyDescent="0.25">
      <c r="B315" s="57" t="s">
        <v>551</v>
      </c>
      <c r="C315" s="26">
        <f>(0.5*L307*L309+0.1*L311*L313)*0.97</f>
        <v>2314134.9900000002</v>
      </c>
    </row>
    <row r="317" spans="2:12" ht="24.75" customHeight="1" x14ac:dyDescent="0.25">
      <c r="B317" s="810" t="s">
        <v>532</v>
      </c>
      <c r="C317" s="810"/>
      <c r="D317" s="810"/>
      <c r="E317" s="810"/>
      <c r="F317" s="810"/>
      <c r="G317" s="810"/>
      <c r="H317" s="810"/>
      <c r="I317" s="810"/>
      <c r="J317" s="810"/>
      <c r="K317" s="810"/>
    </row>
    <row r="319" spans="2:12" x14ac:dyDescent="0.25">
      <c r="B319" s="2" t="s">
        <v>554</v>
      </c>
      <c r="C319" s="1" t="s">
        <v>555</v>
      </c>
      <c r="D319" s="16"/>
    </row>
    <row r="321" spans="2:13" x14ac:dyDescent="0.25">
      <c r="B321"/>
      <c r="C321" s="819" t="s">
        <v>533</v>
      </c>
      <c r="D321" s="819"/>
      <c r="E321" s="819"/>
      <c r="F321" s="819"/>
      <c r="G321" s="819"/>
      <c r="H321" s="819"/>
      <c r="I321" s="819"/>
      <c r="J321" s="819"/>
      <c r="K321" s="819"/>
      <c r="L321" s="26">
        <f>'290'!D12</f>
        <v>1179920.3</v>
      </c>
      <c r="M321" s="10" t="s">
        <v>567</v>
      </c>
    </row>
    <row r="322" spans="2:13" x14ac:dyDescent="0.25">
      <c r="C322" s="21"/>
      <c r="D322" s="21"/>
      <c r="E322" s="21"/>
      <c r="F322" s="21"/>
      <c r="G322" s="21"/>
      <c r="H322" s="21"/>
      <c r="I322" s="21"/>
      <c r="J322" s="21"/>
      <c r="K322" s="21"/>
    </row>
    <row r="323" spans="2:13" ht="26.25" customHeight="1" x14ac:dyDescent="0.25">
      <c r="B323"/>
      <c r="C323" s="818" t="s">
        <v>534</v>
      </c>
      <c r="D323" s="818"/>
      <c r="E323" s="818"/>
      <c r="F323" s="818"/>
      <c r="G323" s="818"/>
      <c r="H323" s="818"/>
      <c r="I323" s="818"/>
      <c r="J323" s="818"/>
      <c r="K323" s="818"/>
      <c r="L323" s="26">
        <f>C315</f>
        <v>2314134.9900000002</v>
      </c>
    </row>
    <row r="324" spans="2:13" x14ac:dyDescent="0.25">
      <c r="C324" s="21"/>
      <c r="D324" s="21"/>
      <c r="E324" s="21"/>
      <c r="F324" s="21"/>
      <c r="G324" s="21"/>
      <c r="H324" s="21"/>
      <c r="I324" s="21"/>
      <c r="J324" s="21"/>
      <c r="K324" s="21"/>
    </row>
    <row r="325" spans="2:13" x14ac:dyDescent="0.25">
      <c r="B325" s="2" t="s">
        <v>554</v>
      </c>
      <c r="C325" s="26">
        <f>L321+L323</f>
        <v>3494055.29</v>
      </c>
    </row>
    <row r="328" spans="2:13" x14ac:dyDescent="0.25">
      <c r="L328" s="58">
        <f>L323+C158</f>
        <v>6370950.6799999997</v>
      </c>
    </row>
  </sheetData>
  <mergeCells count="87">
    <mergeCell ref="O76:P76"/>
    <mergeCell ref="O78:P78"/>
    <mergeCell ref="C76:K76"/>
    <mergeCell ref="C78:K78"/>
    <mergeCell ref="C273:K273"/>
    <mergeCell ref="B246:K246"/>
    <mergeCell ref="C264:K264"/>
    <mergeCell ref="C262:K262"/>
    <mergeCell ref="C182:K182"/>
    <mergeCell ref="B186:K186"/>
    <mergeCell ref="C191:K191"/>
    <mergeCell ref="C203:K203"/>
    <mergeCell ref="C219:K219"/>
    <mergeCell ref="B234:K234"/>
    <mergeCell ref="B223:K223"/>
    <mergeCell ref="C205:K205"/>
    <mergeCell ref="I1:K1"/>
    <mergeCell ref="B2:L2"/>
    <mergeCell ref="C8:K8"/>
    <mergeCell ref="C10:K10"/>
    <mergeCell ref="B59:K59"/>
    <mergeCell ref="C50:K50"/>
    <mergeCell ref="C55:K55"/>
    <mergeCell ref="C12:K12"/>
    <mergeCell ref="B35:K35"/>
    <mergeCell ref="C41:K41"/>
    <mergeCell ref="C43:K43"/>
    <mergeCell ref="B61:K61"/>
    <mergeCell ref="C167:K167"/>
    <mergeCell ref="C165:K165"/>
    <mergeCell ref="B287:K287"/>
    <mergeCell ref="C281:K281"/>
    <mergeCell ref="C283:K283"/>
    <mergeCell ref="C169:K169"/>
    <mergeCell ref="B173:K173"/>
    <mergeCell ref="B211:K211"/>
    <mergeCell ref="C217:K217"/>
    <mergeCell ref="C193:K193"/>
    <mergeCell ref="C195:K195"/>
    <mergeCell ref="B199:K199"/>
    <mergeCell ref="C215:K215"/>
    <mergeCell ref="C178:K178"/>
    <mergeCell ref="C180:K180"/>
    <mergeCell ref="C277:K277"/>
    <mergeCell ref="C279:K279"/>
    <mergeCell ref="C239:K239"/>
    <mergeCell ref="C241:K241"/>
    <mergeCell ref="C230:K230"/>
    <mergeCell ref="C275:K275"/>
    <mergeCell ref="C251:K251"/>
    <mergeCell ref="C253:K253"/>
    <mergeCell ref="C260:K260"/>
    <mergeCell ref="C323:K323"/>
    <mergeCell ref="B317:K317"/>
    <mergeCell ref="C293:K293"/>
    <mergeCell ref="C295:K295"/>
    <mergeCell ref="C297:K297"/>
    <mergeCell ref="C309:K309"/>
    <mergeCell ref="C313:K313"/>
    <mergeCell ref="C311:K311"/>
    <mergeCell ref="C321:K321"/>
    <mergeCell ref="C307:K307"/>
    <mergeCell ref="C305:K305"/>
    <mergeCell ref="C207:K207"/>
    <mergeCell ref="B160:K160"/>
    <mergeCell ref="C142:K142"/>
    <mergeCell ref="C146:K146"/>
    <mergeCell ref="C150:K150"/>
    <mergeCell ref="C152:K152"/>
    <mergeCell ref="C154:K154"/>
    <mergeCell ref="C129:K129"/>
    <mergeCell ref="C132:K132"/>
    <mergeCell ref="B136:K136"/>
    <mergeCell ref="C156:K156"/>
    <mergeCell ref="C140:K140"/>
    <mergeCell ref="C144:K144"/>
    <mergeCell ref="C148:K148"/>
    <mergeCell ref="C112:K112"/>
    <mergeCell ref="C118:K118"/>
    <mergeCell ref="B105:K105"/>
    <mergeCell ref="C80:K80"/>
    <mergeCell ref="B86:K86"/>
    <mergeCell ref="C92:K92"/>
    <mergeCell ref="C94:K94"/>
    <mergeCell ref="C82:K82"/>
    <mergeCell ref="B97:K97"/>
    <mergeCell ref="C101:K101"/>
  </mergeCells>
  <phoneticPr fontId="17" type="noConversion"/>
  <pageMargins left="0" right="0" top="0.74803149606299213" bottom="0.74803149606299213" header="0.31496062992125984" footer="0.31496062992125984"/>
  <pageSetup paperSize="9" scale="85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5121" r:id="rId4">
          <objectPr defaultSize="0" autoPict="0" r:id="rId5">
            <anchor moveWithCells="1" sizeWithCells="1">
              <from>
                <xdr:col>1</xdr:col>
                <xdr:colOff>0</xdr:colOff>
                <xdr:row>4</xdr:row>
                <xdr:rowOff>0</xdr:rowOff>
              </from>
              <to>
                <xdr:col>3</xdr:col>
                <xdr:colOff>295275</xdr:colOff>
                <xdr:row>5</xdr:row>
                <xdr:rowOff>152400</xdr:rowOff>
              </to>
            </anchor>
          </objectPr>
        </oleObject>
      </mc:Choice>
      <mc:Fallback>
        <oleObject progId="Equation.3" shapeId="5121" r:id="rId4"/>
      </mc:Fallback>
    </mc:AlternateContent>
    <mc:AlternateContent xmlns:mc="http://schemas.openxmlformats.org/markup-compatibility/2006">
      <mc:Choice Requires="x14">
        <oleObject progId="Equation.3" shapeId="5122" r:id="rId6">
          <objectPr defaultSize="0" autoPict="0" r:id="rId7">
            <anchor moveWithCells="1" sizeWithCells="1">
              <from>
                <xdr:col>1</xdr:col>
                <xdr:colOff>0</xdr:colOff>
                <xdr:row>19</xdr:row>
                <xdr:rowOff>0</xdr:rowOff>
              </from>
              <to>
                <xdr:col>8</xdr:col>
                <xdr:colOff>295275</xdr:colOff>
                <xdr:row>21</xdr:row>
                <xdr:rowOff>38100</xdr:rowOff>
              </to>
            </anchor>
          </objectPr>
        </oleObject>
      </mc:Choice>
      <mc:Fallback>
        <oleObject progId="Equation.3" shapeId="5122" r:id="rId6"/>
      </mc:Fallback>
    </mc:AlternateContent>
    <mc:AlternateContent xmlns:mc="http://schemas.openxmlformats.org/markup-compatibility/2006">
      <mc:Choice Requires="x14">
        <oleObject progId="Equation.3" shapeId="5124" r:id="rId8">
          <objectPr defaultSize="0" autoPict="0" r:id="rId9">
            <anchor moveWithCells="1" sizeWithCells="1">
              <from>
                <xdr:col>1</xdr:col>
                <xdr:colOff>0</xdr:colOff>
                <xdr:row>37</xdr:row>
                <xdr:rowOff>0</xdr:rowOff>
              </from>
              <to>
                <xdr:col>3</xdr:col>
                <xdr:colOff>152400</xdr:colOff>
                <xdr:row>38</xdr:row>
                <xdr:rowOff>47625</xdr:rowOff>
              </to>
            </anchor>
          </objectPr>
        </oleObject>
      </mc:Choice>
      <mc:Fallback>
        <oleObject progId="Equation.3" shapeId="5124" r:id="rId8"/>
      </mc:Fallback>
    </mc:AlternateContent>
    <mc:AlternateContent xmlns:mc="http://schemas.openxmlformats.org/markup-compatibility/2006">
      <mc:Choice Requires="x14">
        <oleObject progId="Equation.3" shapeId="5126" r:id="rId10">
          <objectPr defaultSize="0" autoPict="0" r:id="rId11">
            <anchor moveWithCells="1" sizeWithCells="1">
              <from>
                <xdr:col>1</xdr:col>
                <xdr:colOff>0</xdr:colOff>
                <xdr:row>46</xdr:row>
                <xdr:rowOff>0</xdr:rowOff>
              </from>
              <to>
                <xdr:col>2</xdr:col>
                <xdr:colOff>342900</xdr:colOff>
                <xdr:row>47</xdr:row>
                <xdr:rowOff>180975</xdr:rowOff>
              </to>
            </anchor>
          </objectPr>
        </oleObject>
      </mc:Choice>
      <mc:Fallback>
        <oleObject progId="Equation.3" shapeId="5126" r:id="rId10"/>
      </mc:Fallback>
    </mc:AlternateContent>
    <mc:AlternateContent xmlns:mc="http://schemas.openxmlformats.org/markup-compatibility/2006">
      <mc:Choice Requires="x14">
        <oleObject progId="Equation.3" shapeId="5127" r:id="rId12">
          <objectPr defaultSize="0" autoPict="0" r:id="rId13">
            <anchor moveWithCells="1" sizeWithCells="1">
              <from>
                <xdr:col>1</xdr:col>
                <xdr:colOff>0</xdr:colOff>
                <xdr:row>51</xdr:row>
                <xdr:rowOff>0</xdr:rowOff>
              </from>
              <to>
                <xdr:col>2</xdr:col>
                <xdr:colOff>133350</xdr:colOff>
                <xdr:row>52</xdr:row>
                <xdr:rowOff>180975</xdr:rowOff>
              </to>
            </anchor>
          </objectPr>
        </oleObject>
      </mc:Choice>
      <mc:Fallback>
        <oleObject progId="Equation.3" shapeId="5127" r:id="rId12"/>
      </mc:Fallback>
    </mc:AlternateContent>
    <mc:AlternateContent xmlns:mc="http://schemas.openxmlformats.org/markup-compatibility/2006">
      <mc:Choice Requires="x14">
        <oleObject progId="Equation.3" shapeId="5129" r:id="rId14">
          <objectPr defaultSize="0" autoPict="0" r:id="rId15">
            <anchor moveWithCells="1" sizeWithCells="1">
              <from>
                <xdr:col>1</xdr:col>
                <xdr:colOff>0</xdr:colOff>
                <xdr:row>62</xdr:row>
                <xdr:rowOff>0</xdr:rowOff>
              </from>
              <to>
                <xdr:col>3</xdr:col>
                <xdr:colOff>171450</xdr:colOff>
                <xdr:row>64</xdr:row>
                <xdr:rowOff>123825</xdr:rowOff>
              </to>
            </anchor>
          </objectPr>
        </oleObject>
      </mc:Choice>
      <mc:Fallback>
        <oleObject progId="Equation.3" shapeId="5129" r:id="rId14"/>
      </mc:Fallback>
    </mc:AlternateContent>
    <mc:AlternateContent xmlns:mc="http://schemas.openxmlformats.org/markup-compatibility/2006">
      <mc:Choice Requires="x14">
        <oleObject progId="Equation.3" shapeId="5136" r:id="rId16">
          <objectPr defaultSize="0" autoPict="0" r:id="rId17">
            <anchor moveWithCells="1" sizeWithCells="1">
              <from>
                <xdr:col>1</xdr:col>
                <xdr:colOff>0</xdr:colOff>
                <xdr:row>68</xdr:row>
                <xdr:rowOff>0</xdr:rowOff>
              </from>
              <to>
                <xdr:col>2</xdr:col>
                <xdr:colOff>123825</xdr:colOff>
                <xdr:row>69</xdr:row>
                <xdr:rowOff>76200</xdr:rowOff>
              </to>
            </anchor>
          </objectPr>
        </oleObject>
      </mc:Choice>
      <mc:Fallback>
        <oleObject progId="Equation.3" shapeId="5136" r:id="rId16"/>
      </mc:Fallback>
    </mc:AlternateContent>
    <mc:AlternateContent xmlns:mc="http://schemas.openxmlformats.org/markup-compatibility/2006">
      <mc:Choice Requires="x14">
        <oleObject progId="Equation.3" shapeId="5139" r:id="rId18">
          <objectPr defaultSize="0" autoPict="0" r:id="rId19">
            <anchor moveWithCells="1" sizeWithCells="1">
              <from>
                <xdr:col>3</xdr:col>
                <xdr:colOff>0</xdr:colOff>
                <xdr:row>68</xdr:row>
                <xdr:rowOff>0</xdr:rowOff>
              </from>
              <to>
                <xdr:col>5</xdr:col>
                <xdr:colOff>266700</xdr:colOff>
                <xdr:row>69</xdr:row>
                <xdr:rowOff>76200</xdr:rowOff>
              </to>
            </anchor>
          </objectPr>
        </oleObject>
      </mc:Choice>
      <mc:Fallback>
        <oleObject progId="Equation.3" shapeId="5139" r:id="rId18"/>
      </mc:Fallback>
    </mc:AlternateContent>
    <mc:AlternateContent xmlns:mc="http://schemas.openxmlformats.org/markup-compatibility/2006">
      <mc:Choice Requires="x14">
        <oleObject progId="Equation.3" shapeId="5140" r:id="rId20">
          <objectPr defaultSize="0" autoPict="0" r:id="rId21">
            <anchor moveWithCells="1" sizeWithCells="1">
              <from>
                <xdr:col>1</xdr:col>
                <xdr:colOff>0</xdr:colOff>
                <xdr:row>75</xdr:row>
                <xdr:rowOff>0</xdr:rowOff>
              </from>
              <to>
                <xdr:col>1</xdr:col>
                <xdr:colOff>647700</xdr:colOff>
                <xdr:row>75</xdr:row>
                <xdr:rowOff>266700</xdr:rowOff>
              </to>
            </anchor>
          </objectPr>
        </oleObject>
      </mc:Choice>
      <mc:Fallback>
        <oleObject progId="Equation.3" shapeId="5140" r:id="rId20"/>
      </mc:Fallback>
    </mc:AlternateContent>
    <mc:AlternateContent xmlns:mc="http://schemas.openxmlformats.org/markup-compatibility/2006">
      <mc:Choice Requires="x14">
        <oleObject progId="Equation.3" shapeId="5141" r:id="rId22">
          <objectPr defaultSize="0" autoPict="0" r:id="rId23">
            <anchor moveWithCells="1" sizeWithCells="1">
              <from>
                <xdr:col>1</xdr:col>
                <xdr:colOff>0</xdr:colOff>
                <xdr:row>73</xdr:row>
                <xdr:rowOff>0</xdr:rowOff>
              </from>
              <to>
                <xdr:col>1</xdr:col>
                <xdr:colOff>847725</xdr:colOff>
                <xdr:row>74</xdr:row>
                <xdr:rowOff>76200</xdr:rowOff>
              </to>
            </anchor>
          </objectPr>
        </oleObject>
      </mc:Choice>
      <mc:Fallback>
        <oleObject progId="Equation.3" shapeId="5141" r:id="rId22"/>
      </mc:Fallback>
    </mc:AlternateContent>
    <mc:AlternateContent xmlns:mc="http://schemas.openxmlformats.org/markup-compatibility/2006">
      <mc:Choice Requires="x14">
        <oleObject progId="Equation.3" shapeId="5142" r:id="rId24">
          <objectPr defaultSize="0" autoPict="0" r:id="rId25">
            <anchor moveWithCells="1" sizeWithCells="1">
              <from>
                <xdr:col>1</xdr:col>
                <xdr:colOff>0</xdr:colOff>
                <xdr:row>79</xdr:row>
                <xdr:rowOff>0</xdr:rowOff>
              </from>
              <to>
                <xdr:col>1</xdr:col>
                <xdr:colOff>647700</xdr:colOff>
                <xdr:row>79</xdr:row>
                <xdr:rowOff>257175</xdr:rowOff>
              </to>
            </anchor>
          </objectPr>
        </oleObject>
      </mc:Choice>
      <mc:Fallback>
        <oleObject progId="Equation.3" shapeId="5142" r:id="rId24"/>
      </mc:Fallback>
    </mc:AlternateContent>
    <mc:AlternateContent xmlns:mc="http://schemas.openxmlformats.org/markup-compatibility/2006">
      <mc:Choice Requires="x14">
        <oleObject progId="Equation.3" shapeId="5143" r:id="rId26">
          <objectPr defaultSize="0" autoPict="0" r:id="rId27">
            <anchor moveWithCells="1" sizeWithCells="1">
              <from>
                <xdr:col>1</xdr:col>
                <xdr:colOff>0</xdr:colOff>
                <xdr:row>87</xdr:row>
                <xdr:rowOff>0</xdr:rowOff>
              </from>
              <to>
                <xdr:col>1</xdr:col>
                <xdr:colOff>409575</xdr:colOff>
                <xdr:row>88</xdr:row>
                <xdr:rowOff>38100</xdr:rowOff>
              </to>
            </anchor>
          </objectPr>
        </oleObject>
      </mc:Choice>
      <mc:Fallback>
        <oleObject progId="Equation.3" shapeId="5143" r:id="rId26"/>
      </mc:Fallback>
    </mc:AlternateContent>
    <mc:AlternateContent xmlns:mc="http://schemas.openxmlformats.org/markup-compatibility/2006">
      <mc:Choice Requires="x14">
        <oleObject progId="Equation.3" shapeId="5144" r:id="rId28">
          <objectPr defaultSize="0" autoPict="0" r:id="rId29">
            <anchor moveWithCells="1" sizeWithCells="1">
              <from>
                <xdr:col>2</xdr:col>
                <xdr:colOff>0</xdr:colOff>
                <xdr:row>87</xdr:row>
                <xdr:rowOff>0</xdr:rowOff>
              </from>
              <to>
                <xdr:col>3</xdr:col>
                <xdr:colOff>142875</xdr:colOff>
                <xdr:row>88</xdr:row>
                <xdr:rowOff>114300</xdr:rowOff>
              </to>
            </anchor>
          </objectPr>
        </oleObject>
      </mc:Choice>
      <mc:Fallback>
        <oleObject progId="Equation.3" shapeId="5144" r:id="rId28"/>
      </mc:Fallback>
    </mc:AlternateContent>
    <mc:AlternateContent xmlns:mc="http://schemas.openxmlformats.org/markup-compatibility/2006">
      <mc:Choice Requires="x14">
        <oleObject progId="Equation.3" shapeId="5145" r:id="rId30">
          <objectPr defaultSize="0" autoPict="0" r:id="rId31">
            <anchor moveWithCells="1" sizeWithCells="1">
              <from>
                <xdr:col>1</xdr:col>
                <xdr:colOff>0</xdr:colOff>
                <xdr:row>91</xdr:row>
                <xdr:rowOff>0</xdr:rowOff>
              </from>
              <to>
                <xdr:col>1</xdr:col>
                <xdr:colOff>609600</xdr:colOff>
                <xdr:row>91</xdr:row>
                <xdr:rowOff>257175</xdr:rowOff>
              </to>
            </anchor>
          </objectPr>
        </oleObject>
      </mc:Choice>
      <mc:Fallback>
        <oleObject progId="Equation.3" shapeId="5145" r:id="rId30"/>
      </mc:Fallback>
    </mc:AlternateContent>
    <mc:AlternateContent xmlns:mc="http://schemas.openxmlformats.org/markup-compatibility/2006">
      <mc:Choice Requires="x14">
        <oleObject progId="Equation.3" shapeId="5150" r:id="rId32">
          <objectPr defaultSize="0" autoPict="0" r:id="rId33">
            <anchor moveWithCells="1" sizeWithCells="1">
              <from>
                <xdr:col>1</xdr:col>
                <xdr:colOff>0</xdr:colOff>
                <xdr:row>106</xdr:row>
                <xdr:rowOff>0</xdr:rowOff>
              </from>
              <to>
                <xdr:col>1</xdr:col>
                <xdr:colOff>466725</xdr:colOff>
                <xdr:row>107</xdr:row>
                <xdr:rowOff>47625</xdr:rowOff>
              </to>
            </anchor>
          </objectPr>
        </oleObject>
      </mc:Choice>
      <mc:Fallback>
        <oleObject progId="Equation.3" shapeId="5150" r:id="rId32"/>
      </mc:Fallback>
    </mc:AlternateContent>
    <mc:AlternateContent xmlns:mc="http://schemas.openxmlformats.org/markup-compatibility/2006">
      <mc:Choice Requires="x14">
        <oleObject progId="Equation.3" shapeId="5151" r:id="rId34">
          <objectPr defaultSize="0" autoPict="0" r:id="rId35">
            <anchor moveWithCells="1" sizeWithCells="1">
              <from>
                <xdr:col>1</xdr:col>
                <xdr:colOff>0</xdr:colOff>
                <xdr:row>125</xdr:row>
                <xdr:rowOff>0</xdr:rowOff>
              </from>
              <to>
                <xdr:col>1</xdr:col>
                <xdr:colOff>381000</xdr:colOff>
                <xdr:row>126</xdr:row>
                <xdr:rowOff>47625</xdr:rowOff>
              </to>
            </anchor>
          </objectPr>
        </oleObject>
      </mc:Choice>
      <mc:Fallback>
        <oleObject progId="Equation.3" shapeId="5151" r:id="rId34"/>
      </mc:Fallback>
    </mc:AlternateContent>
    <mc:AlternateContent xmlns:mc="http://schemas.openxmlformats.org/markup-compatibility/2006">
      <mc:Choice Requires="x14">
        <oleObject progId="Equation.3" shapeId="5152" r:id="rId36">
          <objectPr defaultSize="0" autoPict="0" r:id="rId37">
            <anchor moveWithCells="1" sizeWithCells="1">
              <from>
                <xdr:col>2</xdr:col>
                <xdr:colOff>0</xdr:colOff>
                <xdr:row>125</xdr:row>
                <xdr:rowOff>0</xdr:rowOff>
              </from>
              <to>
                <xdr:col>2</xdr:col>
                <xdr:colOff>485775</xdr:colOff>
                <xdr:row>127</xdr:row>
                <xdr:rowOff>104775</xdr:rowOff>
              </to>
            </anchor>
          </objectPr>
        </oleObject>
      </mc:Choice>
      <mc:Fallback>
        <oleObject progId="Equation.3" shapeId="5152" r:id="rId36"/>
      </mc:Fallback>
    </mc:AlternateContent>
    <mc:AlternateContent xmlns:mc="http://schemas.openxmlformats.org/markup-compatibility/2006">
      <mc:Choice Requires="x14">
        <oleObject progId="Equation.3" shapeId="5153" r:id="rId38">
          <objectPr defaultSize="0" autoPict="0" r:id="rId39">
            <anchor moveWithCells="1" sizeWithCells="1">
              <from>
                <xdr:col>1</xdr:col>
                <xdr:colOff>0</xdr:colOff>
                <xdr:row>128</xdr:row>
                <xdr:rowOff>0</xdr:rowOff>
              </from>
              <to>
                <xdr:col>1</xdr:col>
                <xdr:colOff>428625</xdr:colOff>
                <xdr:row>128</xdr:row>
                <xdr:rowOff>276225</xdr:rowOff>
              </to>
            </anchor>
          </objectPr>
        </oleObject>
      </mc:Choice>
      <mc:Fallback>
        <oleObject progId="Equation.3" shapeId="5153" r:id="rId38"/>
      </mc:Fallback>
    </mc:AlternateContent>
    <mc:AlternateContent xmlns:mc="http://schemas.openxmlformats.org/markup-compatibility/2006">
      <mc:Choice Requires="x14">
        <oleObject progId="Equation.3" shapeId="5167" r:id="rId40">
          <objectPr defaultSize="0" autoPict="0" r:id="rId41">
            <anchor moveWithCells="1" sizeWithCells="1">
              <from>
                <xdr:col>1</xdr:col>
                <xdr:colOff>0</xdr:colOff>
                <xdr:row>139</xdr:row>
                <xdr:rowOff>0</xdr:rowOff>
              </from>
              <to>
                <xdr:col>1</xdr:col>
                <xdr:colOff>485775</xdr:colOff>
                <xdr:row>139</xdr:row>
                <xdr:rowOff>228600</xdr:rowOff>
              </to>
            </anchor>
          </objectPr>
        </oleObject>
      </mc:Choice>
      <mc:Fallback>
        <oleObject progId="Equation.3" shapeId="5167" r:id="rId40"/>
      </mc:Fallback>
    </mc:AlternateContent>
    <mc:AlternateContent xmlns:mc="http://schemas.openxmlformats.org/markup-compatibility/2006">
      <mc:Choice Requires="x14">
        <oleObject progId="Equation.3" shapeId="5168" r:id="rId42">
          <objectPr defaultSize="0" autoPict="0" r:id="rId43">
            <anchor moveWithCells="1" sizeWithCells="1">
              <from>
                <xdr:col>1</xdr:col>
                <xdr:colOff>0</xdr:colOff>
                <xdr:row>141</xdr:row>
                <xdr:rowOff>0</xdr:rowOff>
              </from>
              <to>
                <xdr:col>1</xdr:col>
                <xdr:colOff>485775</xdr:colOff>
                <xdr:row>141</xdr:row>
                <xdr:rowOff>238125</xdr:rowOff>
              </to>
            </anchor>
          </objectPr>
        </oleObject>
      </mc:Choice>
      <mc:Fallback>
        <oleObject progId="Equation.3" shapeId="5168" r:id="rId42"/>
      </mc:Fallback>
    </mc:AlternateContent>
    <mc:AlternateContent xmlns:mc="http://schemas.openxmlformats.org/markup-compatibility/2006">
      <mc:Choice Requires="x14">
        <oleObject progId="Equation.3" shapeId="5169" r:id="rId44">
          <objectPr defaultSize="0" autoPict="0" r:id="rId45">
            <anchor moveWithCells="1" sizeWithCells="1">
              <from>
                <xdr:col>1</xdr:col>
                <xdr:colOff>0</xdr:colOff>
                <xdr:row>143</xdr:row>
                <xdr:rowOff>0</xdr:rowOff>
              </from>
              <to>
                <xdr:col>1</xdr:col>
                <xdr:colOff>381000</xdr:colOff>
                <xdr:row>143</xdr:row>
                <xdr:rowOff>228600</xdr:rowOff>
              </to>
            </anchor>
          </objectPr>
        </oleObject>
      </mc:Choice>
      <mc:Fallback>
        <oleObject progId="Equation.3" shapeId="5169" r:id="rId44"/>
      </mc:Fallback>
    </mc:AlternateContent>
    <mc:AlternateContent xmlns:mc="http://schemas.openxmlformats.org/markup-compatibility/2006">
      <mc:Choice Requires="x14">
        <oleObject progId="Equation.3" shapeId="5170" r:id="rId46">
          <objectPr defaultSize="0" autoPict="0" r:id="rId47">
            <anchor moveWithCells="1" sizeWithCells="1">
              <from>
                <xdr:col>1</xdr:col>
                <xdr:colOff>0</xdr:colOff>
                <xdr:row>145</xdr:row>
                <xdr:rowOff>0</xdr:rowOff>
              </from>
              <to>
                <xdr:col>1</xdr:col>
                <xdr:colOff>419100</xdr:colOff>
                <xdr:row>145</xdr:row>
                <xdr:rowOff>238125</xdr:rowOff>
              </to>
            </anchor>
          </objectPr>
        </oleObject>
      </mc:Choice>
      <mc:Fallback>
        <oleObject progId="Equation.3" shapeId="5170" r:id="rId46"/>
      </mc:Fallback>
    </mc:AlternateContent>
    <mc:AlternateContent xmlns:mc="http://schemas.openxmlformats.org/markup-compatibility/2006">
      <mc:Choice Requires="x14">
        <oleObject progId="Equation.3" shapeId="5171" r:id="rId48">
          <objectPr defaultSize="0" autoPict="0" r:id="rId49">
            <anchor moveWithCells="1" sizeWithCells="1">
              <from>
                <xdr:col>1</xdr:col>
                <xdr:colOff>0</xdr:colOff>
                <xdr:row>147</xdr:row>
                <xdr:rowOff>0</xdr:rowOff>
              </from>
              <to>
                <xdr:col>1</xdr:col>
                <xdr:colOff>619125</xdr:colOff>
                <xdr:row>147</xdr:row>
                <xdr:rowOff>200025</xdr:rowOff>
              </to>
            </anchor>
          </objectPr>
        </oleObject>
      </mc:Choice>
      <mc:Fallback>
        <oleObject progId="Equation.3" shapeId="5171" r:id="rId48"/>
      </mc:Fallback>
    </mc:AlternateContent>
    <mc:AlternateContent xmlns:mc="http://schemas.openxmlformats.org/markup-compatibility/2006">
      <mc:Choice Requires="x14">
        <oleObject progId="Equation.3" shapeId="5172" r:id="rId50">
          <objectPr defaultSize="0" autoPict="0" r:id="rId51">
            <anchor moveWithCells="1" sizeWithCells="1">
              <from>
                <xdr:col>1</xdr:col>
                <xdr:colOff>0</xdr:colOff>
                <xdr:row>149</xdr:row>
                <xdr:rowOff>0</xdr:rowOff>
              </from>
              <to>
                <xdr:col>1</xdr:col>
                <xdr:colOff>609600</xdr:colOff>
                <xdr:row>150</xdr:row>
                <xdr:rowOff>9525</xdr:rowOff>
              </to>
            </anchor>
          </objectPr>
        </oleObject>
      </mc:Choice>
      <mc:Fallback>
        <oleObject progId="Equation.3" shapeId="5172" r:id="rId50"/>
      </mc:Fallback>
    </mc:AlternateContent>
    <mc:AlternateContent xmlns:mc="http://schemas.openxmlformats.org/markup-compatibility/2006">
      <mc:Choice Requires="x14">
        <oleObject progId="Equation.3" shapeId="5173" r:id="rId52">
          <objectPr defaultSize="0" autoPict="0" r:id="rId53">
            <anchor moveWithCells="1" sizeWithCells="1">
              <from>
                <xdr:col>1</xdr:col>
                <xdr:colOff>0</xdr:colOff>
                <xdr:row>151</xdr:row>
                <xdr:rowOff>0</xdr:rowOff>
              </from>
              <to>
                <xdr:col>1</xdr:col>
                <xdr:colOff>523875</xdr:colOff>
                <xdr:row>152</xdr:row>
                <xdr:rowOff>9525</xdr:rowOff>
              </to>
            </anchor>
          </objectPr>
        </oleObject>
      </mc:Choice>
      <mc:Fallback>
        <oleObject progId="Equation.3" shapeId="5173" r:id="rId52"/>
      </mc:Fallback>
    </mc:AlternateContent>
    <mc:AlternateContent xmlns:mc="http://schemas.openxmlformats.org/markup-compatibility/2006">
      <mc:Choice Requires="x14">
        <oleObject progId="Equation.3" shapeId="5174" r:id="rId54">
          <objectPr defaultSize="0" autoPict="0" r:id="rId55">
            <anchor moveWithCells="1" sizeWithCells="1">
              <from>
                <xdr:col>1</xdr:col>
                <xdr:colOff>0</xdr:colOff>
                <xdr:row>153</xdr:row>
                <xdr:rowOff>0</xdr:rowOff>
              </from>
              <to>
                <xdr:col>1</xdr:col>
                <xdr:colOff>561975</xdr:colOff>
                <xdr:row>154</xdr:row>
                <xdr:rowOff>38100</xdr:rowOff>
              </to>
            </anchor>
          </objectPr>
        </oleObject>
      </mc:Choice>
      <mc:Fallback>
        <oleObject progId="Equation.3" shapeId="5174" r:id="rId54"/>
      </mc:Fallback>
    </mc:AlternateContent>
    <mc:AlternateContent xmlns:mc="http://schemas.openxmlformats.org/markup-compatibility/2006">
      <mc:Choice Requires="x14">
        <oleObject progId="Equation.3" shapeId="5177" r:id="rId56">
          <objectPr defaultSize="0" autoPict="0" r:id="rId57">
            <anchor moveWithCells="1" sizeWithCells="1">
              <from>
                <xdr:col>1</xdr:col>
                <xdr:colOff>0</xdr:colOff>
                <xdr:row>161</xdr:row>
                <xdr:rowOff>0</xdr:rowOff>
              </from>
              <to>
                <xdr:col>2</xdr:col>
                <xdr:colOff>438150</xdr:colOff>
                <xdr:row>162</xdr:row>
                <xdr:rowOff>66675</xdr:rowOff>
              </to>
            </anchor>
          </objectPr>
        </oleObject>
      </mc:Choice>
      <mc:Fallback>
        <oleObject progId="Equation.3" shapeId="5177" r:id="rId56"/>
      </mc:Fallback>
    </mc:AlternateContent>
    <mc:AlternateContent xmlns:mc="http://schemas.openxmlformats.org/markup-compatibility/2006">
      <mc:Choice Requires="x14">
        <oleObject progId="Equation.3" shapeId="5178" r:id="rId58">
          <objectPr defaultSize="0" autoPict="0" r:id="rId59">
            <anchor moveWithCells="1" sizeWithCells="1">
              <from>
                <xdr:col>1</xdr:col>
                <xdr:colOff>0</xdr:colOff>
                <xdr:row>164</xdr:row>
                <xdr:rowOff>0</xdr:rowOff>
              </from>
              <to>
                <xdr:col>1</xdr:col>
                <xdr:colOff>619125</xdr:colOff>
                <xdr:row>164</xdr:row>
                <xdr:rowOff>200025</xdr:rowOff>
              </to>
            </anchor>
          </objectPr>
        </oleObject>
      </mc:Choice>
      <mc:Fallback>
        <oleObject progId="Equation.3" shapeId="5178" r:id="rId58"/>
      </mc:Fallback>
    </mc:AlternateContent>
    <mc:AlternateContent xmlns:mc="http://schemas.openxmlformats.org/markup-compatibility/2006">
      <mc:Choice Requires="x14">
        <oleObject progId="Equation.3" shapeId="5179" r:id="rId60">
          <objectPr defaultSize="0" autoPict="0" r:id="rId61">
            <anchor moveWithCells="1" sizeWithCells="1">
              <from>
                <xdr:col>1</xdr:col>
                <xdr:colOff>0</xdr:colOff>
                <xdr:row>166</xdr:row>
                <xdr:rowOff>0</xdr:rowOff>
              </from>
              <to>
                <xdr:col>1</xdr:col>
                <xdr:colOff>733425</xdr:colOff>
                <xdr:row>167</xdr:row>
                <xdr:rowOff>66675</xdr:rowOff>
              </to>
            </anchor>
          </objectPr>
        </oleObject>
      </mc:Choice>
      <mc:Fallback>
        <oleObject progId="Equation.3" shapeId="5179" r:id="rId60"/>
      </mc:Fallback>
    </mc:AlternateContent>
    <mc:AlternateContent xmlns:mc="http://schemas.openxmlformats.org/markup-compatibility/2006">
      <mc:Choice Requires="x14">
        <oleObject progId="Equation.3" shapeId="5180" r:id="rId62">
          <objectPr defaultSize="0" autoPict="0" r:id="rId63">
            <anchor moveWithCells="1" sizeWithCells="1">
              <from>
                <xdr:col>1</xdr:col>
                <xdr:colOff>0</xdr:colOff>
                <xdr:row>174</xdr:row>
                <xdr:rowOff>0</xdr:rowOff>
              </from>
              <to>
                <xdr:col>2</xdr:col>
                <xdr:colOff>438150</xdr:colOff>
                <xdr:row>175</xdr:row>
                <xdr:rowOff>76200</xdr:rowOff>
              </to>
            </anchor>
          </objectPr>
        </oleObject>
      </mc:Choice>
      <mc:Fallback>
        <oleObject progId="Equation.3" shapeId="5180" r:id="rId62"/>
      </mc:Fallback>
    </mc:AlternateContent>
    <mc:AlternateContent xmlns:mc="http://schemas.openxmlformats.org/markup-compatibility/2006">
      <mc:Choice Requires="x14">
        <oleObject progId="Equation.3" shapeId="5181" r:id="rId64">
          <objectPr defaultSize="0" autoPict="0" r:id="rId65">
            <anchor moveWithCells="1" sizeWithCells="1">
              <from>
                <xdr:col>1</xdr:col>
                <xdr:colOff>0</xdr:colOff>
                <xdr:row>177</xdr:row>
                <xdr:rowOff>0</xdr:rowOff>
              </from>
              <to>
                <xdr:col>1</xdr:col>
                <xdr:colOff>619125</xdr:colOff>
                <xdr:row>178</xdr:row>
                <xdr:rowOff>0</xdr:rowOff>
              </to>
            </anchor>
          </objectPr>
        </oleObject>
      </mc:Choice>
      <mc:Fallback>
        <oleObject progId="Equation.3" shapeId="5181" r:id="rId64"/>
      </mc:Fallback>
    </mc:AlternateContent>
    <mc:AlternateContent xmlns:mc="http://schemas.openxmlformats.org/markup-compatibility/2006">
      <mc:Choice Requires="x14">
        <oleObject progId="Equation.3" shapeId="5182" r:id="rId66">
          <objectPr defaultSize="0" autoPict="0" r:id="rId67">
            <anchor moveWithCells="1" sizeWithCells="1">
              <from>
                <xdr:col>1</xdr:col>
                <xdr:colOff>0</xdr:colOff>
                <xdr:row>179</xdr:row>
                <xdr:rowOff>0</xdr:rowOff>
              </from>
              <to>
                <xdr:col>1</xdr:col>
                <xdr:colOff>733425</xdr:colOff>
                <xdr:row>180</xdr:row>
                <xdr:rowOff>76200</xdr:rowOff>
              </to>
            </anchor>
          </objectPr>
        </oleObject>
      </mc:Choice>
      <mc:Fallback>
        <oleObject progId="Equation.3" shapeId="5182" r:id="rId66"/>
      </mc:Fallback>
    </mc:AlternateContent>
    <mc:AlternateContent xmlns:mc="http://schemas.openxmlformats.org/markup-compatibility/2006">
      <mc:Choice Requires="x14">
        <oleObject progId="Equation.3" shapeId="5183" r:id="rId68">
          <objectPr defaultSize="0" autoPict="0" r:id="rId69">
            <anchor moveWithCells="1" sizeWithCells="1">
              <from>
                <xdr:col>1</xdr:col>
                <xdr:colOff>0</xdr:colOff>
                <xdr:row>190</xdr:row>
                <xdr:rowOff>0</xdr:rowOff>
              </from>
              <to>
                <xdr:col>1</xdr:col>
                <xdr:colOff>523875</xdr:colOff>
                <xdr:row>191</xdr:row>
                <xdr:rowOff>9525</xdr:rowOff>
              </to>
            </anchor>
          </objectPr>
        </oleObject>
      </mc:Choice>
      <mc:Fallback>
        <oleObject progId="Equation.3" shapeId="5183" r:id="rId68"/>
      </mc:Fallback>
    </mc:AlternateContent>
    <mc:AlternateContent xmlns:mc="http://schemas.openxmlformats.org/markup-compatibility/2006">
      <mc:Choice Requires="x14">
        <oleObject progId="Equation.3" shapeId="5184" r:id="rId70">
          <objectPr defaultSize="0" autoPict="0" r:id="rId71">
            <anchor moveWithCells="1" sizeWithCells="1">
              <from>
                <xdr:col>1</xdr:col>
                <xdr:colOff>0</xdr:colOff>
                <xdr:row>192</xdr:row>
                <xdr:rowOff>0</xdr:rowOff>
              </from>
              <to>
                <xdr:col>1</xdr:col>
                <xdr:colOff>647700</xdr:colOff>
                <xdr:row>193</xdr:row>
                <xdr:rowOff>66675</xdr:rowOff>
              </to>
            </anchor>
          </objectPr>
        </oleObject>
      </mc:Choice>
      <mc:Fallback>
        <oleObject progId="Equation.3" shapeId="5184" r:id="rId70"/>
      </mc:Fallback>
    </mc:AlternateContent>
    <mc:AlternateContent xmlns:mc="http://schemas.openxmlformats.org/markup-compatibility/2006">
      <mc:Choice Requires="x14">
        <oleObject progId="Equation.3" shapeId="5185" r:id="rId72">
          <objectPr defaultSize="0" autoPict="0" r:id="rId73">
            <anchor moveWithCells="1" sizeWithCells="1">
              <from>
                <xdr:col>1</xdr:col>
                <xdr:colOff>0</xdr:colOff>
                <xdr:row>187</xdr:row>
                <xdr:rowOff>0</xdr:rowOff>
              </from>
              <to>
                <xdr:col>2</xdr:col>
                <xdr:colOff>247650</xdr:colOff>
                <xdr:row>188</xdr:row>
                <xdr:rowOff>47625</xdr:rowOff>
              </to>
            </anchor>
          </objectPr>
        </oleObject>
      </mc:Choice>
      <mc:Fallback>
        <oleObject progId="Equation.3" shapeId="5185" r:id="rId72"/>
      </mc:Fallback>
    </mc:AlternateContent>
    <mc:AlternateContent xmlns:mc="http://schemas.openxmlformats.org/markup-compatibility/2006">
      <mc:Choice Requires="x14">
        <oleObject progId="Equation.3" shapeId="5186" r:id="rId74">
          <objectPr defaultSize="0" autoPict="0" r:id="rId75">
            <anchor moveWithCells="1" sizeWithCells="1">
              <from>
                <xdr:col>1</xdr:col>
                <xdr:colOff>0</xdr:colOff>
                <xdr:row>200</xdr:row>
                <xdr:rowOff>0</xdr:rowOff>
              </from>
              <to>
                <xdr:col>2</xdr:col>
                <xdr:colOff>333375</xdr:colOff>
                <xdr:row>201</xdr:row>
                <xdr:rowOff>76200</xdr:rowOff>
              </to>
            </anchor>
          </objectPr>
        </oleObject>
      </mc:Choice>
      <mc:Fallback>
        <oleObject progId="Equation.3" shapeId="5186" r:id="rId74"/>
      </mc:Fallback>
    </mc:AlternateContent>
    <mc:AlternateContent xmlns:mc="http://schemas.openxmlformats.org/markup-compatibility/2006">
      <mc:Choice Requires="x14">
        <oleObject progId="Equation.3" shapeId="5187" r:id="rId76">
          <objectPr defaultSize="0" autoPict="0" r:id="rId77">
            <anchor moveWithCells="1" sizeWithCells="1">
              <from>
                <xdr:col>1</xdr:col>
                <xdr:colOff>0</xdr:colOff>
                <xdr:row>202</xdr:row>
                <xdr:rowOff>0</xdr:rowOff>
              </from>
              <to>
                <xdr:col>1</xdr:col>
                <xdr:colOff>561975</xdr:colOff>
                <xdr:row>203</xdr:row>
                <xdr:rowOff>38100</xdr:rowOff>
              </to>
            </anchor>
          </objectPr>
        </oleObject>
      </mc:Choice>
      <mc:Fallback>
        <oleObject progId="Equation.3" shapeId="5187" r:id="rId76"/>
      </mc:Fallback>
    </mc:AlternateContent>
    <mc:AlternateContent xmlns:mc="http://schemas.openxmlformats.org/markup-compatibility/2006">
      <mc:Choice Requires="x14">
        <oleObject progId="Equation.3" shapeId="5188" r:id="rId78">
          <objectPr defaultSize="0" autoPict="0" r:id="rId79">
            <anchor moveWithCells="1" sizeWithCells="1">
              <from>
                <xdr:col>1</xdr:col>
                <xdr:colOff>0</xdr:colOff>
                <xdr:row>204</xdr:row>
                <xdr:rowOff>0</xdr:rowOff>
              </from>
              <to>
                <xdr:col>1</xdr:col>
                <xdr:colOff>676275</xdr:colOff>
                <xdr:row>205</xdr:row>
                <xdr:rowOff>76200</xdr:rowOff>
              </to>
            </anchor>
          </objectPr>
        </oleObject>
      </mc:Choice>
      <mc:Fallback>
        <oleObject progId="Equation.3" shapeId="5188" r:id="rId78"/>
      </mc:Fallback>
    </mc:AlternateContent>
    <mc:AlternateContent xmlns:mc="http://schemas.openxmlformats.org/markup-compatibility/2006">
      <mc:Choice Requires="x14">
        <oleObject progId="Equation.3" shapeId="5190" r:id="rId80">
          <objectPr defaultSize="0" autoPict="0" r:id="rId81">
            <anchor moveWithCells="1" sizeWithCells="1">
              <from>
                <xdr:col>1</xdr:col>
                <xdr:colOff>0</xdr:colOff>
                <xdr:row>212</xdr:row>
                <xdr:rowOff>0</xdr:rowOff>
              </from>
              <to>
                <xdr:col>1</xdr:col>
                <xdr:colOff>542925</xdr:colOff>
                <xdr:row>213</xdr:row>
                <xdr:rowOff>47625</xdr:rowOff>
              </to>
            </anchor>
          </objectPr>
        </oleObject>
      </mc:Choice>
      <mc:Fallback>
        <oleObject progId="Equation.3" shapeId="5190" r:id="rId80"/>
      </mc:Fallback>
    </mc:AlternateContent>
    <mc:AlternateContent xmlns:mc="http://schemas.openxmlformats.org/markup-compatibility/2006">
      <mc:Choice Requires="x14">
        <oleObject progId="Equation.3" shapeId="5191" r:id="rId82">
          <objectPr defaultSize="0" autoPict="0" r:id="rId83">
            <anchor moveWithCells="1" sizeWithCells="1">
              <from>
                <xdr:col>2</xdr:col>
                <xdr:colOff>0</xdr:colOff>
                <xdr:row>212</xdr:row>
                <xdr:rowOff>0</xdr:rowOff>
              </from>
              <to>
                <xdr:col>3</xdr:col>
                <xdr:colOff>85725</xdr:colOff>
                <xdr:row>213</xdr:row>
                <xdr:rowOff>47625</xdr:rowOff>
              </to>
            </anchor>
          </objectPr>
        </oleObject>
      </mc:Choice>
      <mc:Fallback>
        <oleObject progId="Equation.3" shapeId="5191" r:id="rId82"/>
      </mc:Fallback>
    </mc:AlternateContent>
    <mc:AlternateContent xmlns:mc="http://schemas.openxmlformats.org/markup-compatibility/2006">
      <mc:Choice Requires="x14">
        <oleObject progId="Equation.3" shapeId="5192" r:id="rId84">
          <objectPr defaultSize="0" autoPict="0" r:id="rId85">
            <anchor moveWithCells="1" sizeWithCells="1">
              <from>
                <xdr:col>3</xdr:col>
                <xdr:colOff>0</xdr:colOff>
                <xdr:row>212</xdr:row>
                <xdr:rowOff>0</xdr:rowOff>
              </from>
              <to>
                <xdr:col>4</xdr:col>
                <xdr:colOff>0</xdr:colOff>
                <xdr:row>213</xdr:row>
                <xdr:rowOff>76200</xdr:rowOff>
              </to>
            </anchor>
          </objectPr>
        </oleObject>
      </mc:Choice>
      <mc:Fallback>
        <oleObject progId="Equation.3" shapeId="5192" r:id="rId84"/>
      </mc:Fallback>
    </mc:AlternateContent>
    <mc:AlternateContent xmlns:mc="http://schemas.openxmlformats.org/markup-compatibility/2006">
      <mc:Choice Requires="x14">
        <oleObject progId="Equation.3" shapeId="5196" r:id="rId86">
          <objectPr defaultSize="0" autoPict="0" r:id="rId87">
            <anchor moveWithCells="1" sizeWithCells="1">
              <from>
                <xdr:col>1</xdr:col>
                <xdr:colOff>0</xdr:colOff>
                <xdr:row>214</xdr:row>
                <xdr:rowOff>0</xdr:rowOff>
              </from>
              <to>
                <xdr:col>1</xdr:col>
                <xdr:colOff>542925</xdr:colOff>
                <xdr:row>214</xdr:row>
                <xdr:rowOff>238125</xdr:rowOff>
              </to>
            </anchor>
          </objectPr>
        </oleObject>
      </mc:Choice>
      <mc:Fallback>
        <oleObject progId="Equation.3" shapeId="5196" r:id="rId86"/>
      </mc:Fallback>
    </mc:AlternateContent>
    <mc:AlternateContent xmlns:mc="http://schemas.openxmlformats.org/markup-compatibility/2006">
      <mc:Choice Requires="x14">
        <oleObject progId="Equation.3" shapeId="5197" r:id="rId88">
          <objectPr defaultSize="0" autoPict="0" r:id="rId89">
            <anchor moveWithCells="1" sizeWithCells="1">
              <from>
                <xdr:col>1</xdr:col>
                <xdr:colOff>0</xdr:colOff>
                <xdr:row>216</xdr:row>
                <xdr:rowOff>0</xdr:rowOff>
              </from>
              <to>
                <xdr:col>1</xdr:col>
                <xdr:colOff>180975</xdr:colOff>
                <xdr:row>216</xdr:row>
                <xdr:rowOff>228600</xdr:rowOff>
              </to>
            </anchor>
          </objectPr>
        </oleObject>
      </mc:Choice>
      <mc:Fallback>
        <oleObject progId="Equation.3" shapeId="5197" r:id="rId88"/>
      </mc:Fallback>
    </mc:AlternateContent>
    <mc:AlternateContent xmlns:mc="http://schemas.openxmlformats.org/markup-compatibility/2006">
      <mc:Choice Requires="x14">
        <oleObject progId="Equation.3" shapeId="5198" r:id="rId90">
          <objectPr defaultSize="0" autoPict="0" r:id="rId91">
            <anchor moveWithCells="1" sizeWithCells="1">
              <from>
                <xdr:col>1</xdr:col>
                <xdr:colOff>0</xdr:colOff>
                <xdr:row>218</xdr:row>
                <xdr:rowOff>0</xdr:rowOff>
              </from>
              <to>
                <xdr:col>1</xdr:col>
                <xdr:colOff>609600</xdr:colOff>
                <xdr:row>218</xdr:row>
                <xdr:rowOff>266700</xdr:rowOff>
              </to>
            </anchor>
          </objectPr>
        </oleObject>
      </mc:Choice>
      <mc:Fallback>
        <oleObject progId="Equation.3" shapeId="5198" r:id="rId90"/>
      </mc:Fallback>
    </mc:AlternateContent>
    <mc:AlternateContent xmlns:mc="http://schemas.openxmlformats.org/markup-compatibility/2006">
      <mc:Choice Requires="x14">
        <oleObject progId="Equation.3" shapeId="5200" r:id="rId92">
          <objectPr defaultSize="0" autoPict="0" r:id="rId93">
            <anchor moveWithCells="1" sizeWithCells="1">
              <from>
                <xdr:col>1</xdr:col>
                <xdr:colOff>0</xdr:colOff>
                <xdr:row>224</xdr:row>
                <xdr:rowOff>0</xdr:rowOff>
              </from>
              <to>
                <xdr:col>1</xdr:col>
                <xdr:colOff>495300</xdr:colOff>
                <xdr:row>225</xdr:row>
                <xdr:rowOff>38100</xdr:rowOff>
              </to>
            </anchor>
          </objectPr>
        </oleObject>
      </mc:Choice>
      <mc:Fallback>
        <oleObject progId="Equation.3" shapeId="5200" r:id="rId92"/>
      </mc:Fallback>
    </mc:AlternateContent>
    <mc:AlternateContent xmlns:mc="http://schemas.openxmlformats.org/markup-compatibility/2006">
      <mc:Choice Requires="x14">
        <oleObject progId="Equation.3" shapeId="5201" r:id="rId94">
          <objectPr defaultSize="0" autoPict="0" r:id="rId95">
            <anchor moveWithCells="1" sizeWithCells="1">
              <from>
                <xdr:col>2</xdr:col>
                <xdr:colOff>0</xdr:colOff>
                <xdr:row>224</xdr:row>
                <xdr:rowOff>0</xdr:rowOff>
              </from>
              <to>
                <xdr:col>3</xdr:col>
                <xdr:colOff>342900</xdr:colOff>
                <xdr:row>225</xdr:row>
                <xdr:rowOff>47625</xdr:rowOff>
              </to>
            </anchor>
          </objectPr>
        </oleObject>
      </mc:Choice>
      <mc:Fallback>
        <oleObject progId="Equation.3" shapeId="5201" r:id="rId94"/>
      </mc:Fallback>
    </mc:AlternateContent>
    <mc:AlternateContent xmlns:mc="http://schemas.openxmlformats.org/markup-compatibility/2006">
      <mc:Choice Requires="x14">
        <oleObject progId="Equation.3" shapeId="5202" r:id="rId96">
          <objectPr defaultSize="0" autoPict="0" r:id="rId97">
            <anchor moveWithCells="1" sizeWithCells="1">
              <from>
                <xdr:col>1</xdr:col>
                <xdr:colOff>0</xdr:colOff>
                <xdr:row>227</xdr:row>
                <xdr:rowOff>0</xdr:rowOff>
              </from>
              <to>
                <xdr:col>1</xdr:col>
                <xdr:colOff>647700</xdr:colOff>
                <xdr:row>228</xdr:row>
                <xdr:rowOff>28575</xdr:rowOff>
              </to>
            </anchor>
          </objectPr>
        </oleObject>
      </mc:Choice>
      <mc:Fallback>
        <oleObject progId="Equation.3" shapeId="5202" r:id="rId96"/>
      </mc:Fallback>
    </mc:AlternateContent>
    <mc:AlternateContent xmlns:mc="http://schemas.openxmlformats.org/markup-compatibility/2006">
      <mc:Choice Requires="x14">
        <oleObject progId="Equation.3" shapeId="5203" r:id="rId98">
          <objectPr defaultSize="0" autoPict="0" r:id="rId99">
            <anchor moveWithCells="1" sizeWithCells="1">
              <from>
                <xdr:col>1</xdr:col>
                <xdr:colOff>0</xdr:colOff>
                <xdr:row>229</xdr:row>
                <xdr:rowOff>0</xdr:rowOff>
              </from>
              <to>
                <xdr:col>1</xdr:col>
                <xdr:colOff>276225</xdr:colOff>
                <xdr:row>230</xdr:row>
                <xdr:rowOff>19050</xdr:rowOff>
              </to>
            </anchor>
          </objectPr>
        </oleObject>
      </mc:Choice>
      <mc:Fallback>
        <oleObject progId="Equation.3" shapeId="5203" r:id="rId98"/>
      </mc:Fallback>
    </mc:AlternateContent>
    <mc:AlternateContent xmlns:mc="http://schemas.openxmlformats.org/markup-compatibility/2006">
      <mc:Choice Requires="x14">
        <oleObject progId="Equation.3" shapeId="5204" r:id="rId100">
          <objectPr defaultSize="0" autoPict="0" r:id="rId101">
            <anchor moveWithCells="1" sizeWithCells="1">
              <from>
                <xdr:col>1</xdr:col>
                <xdr:colOff>0</xdr:colOff>
                <xdr:row>235</xdr:row>
                <xdr:rowOff>0</xdr:rowOff>
              </from>
              <to>
                <xdr:col>1</xdr:col>
                <xdr:colOff>590550</xdr:colOff>
                <xdr:row>236</xdr:row>
                <xdr:rowOff>47625</xdr:rowOff>
              </to>
            </anchor>
          </objectPr>
        </oleObject>
      </mc:Choice>
      <mc:Fallback>
        <oleObject progId="Equation.3" shapeId="5204" r:id="rId100"/>
      </mc:Fallback>
    </mc:AlternateContent>
    <mc:AlternateContent xmlns:mc="http://schemas.openxmlformats.org/markup-compatibility/2006">
      <mc:Choice Requires="x14">
        <oleObject progId="Equation.3" shapeId="5205" r:id="rId102">
          <objectPr defaultSize="0" autoPict="0" r:id="rId103">
            <anchor moveWithCells="1" sizeWithCells="1">
              <from>
                <xdr:col>2</xdr:col>
                <xdr:colOff>0</xdr:colOff>
                <xdr:row>235</xdr:row>
                <xdr:rowOff>0</xdr:rowOff>
              </from>
              <to>
                <xdr:col>3</xdr:col>
                <xdr:colOff>523875</xdr:colOff>
                <xdr:row>236</xdr:row>
                <xdr:rowOff>66675</xdr:rowOff>
              </to>
            </anchor>
          </objectPr>
        </oleObject>
      </mc:Choice>
      <mc:Fallback>
        <oleObject progId="Equation.3" shapeId="5205" r:id="rId102"/>
      </mc:Fallback>
    </mc:AlternateContent>
    <mc:AlternateContent xmlns:mc="http://schemas.openxmlformats.org/markup-compatibility/2006">
      <mc:Choice Requires="x14">
        <oleObject progId="Equation.3" shapeId="5206" r:id="rId104">
          <objectPr defaultSize="0" autoPict="0" r:id="rId105">
            <anchor moveWithCells="1" sizeWithCells="1">
              <from>
                <xdr:col>1</xdr:col>
                <xdr:colOff>0</xdr:colOff>
                <xdr:row>238</xdr:row>
                <xdr:rowOff>0</xdr:rowOff>
              </from>
              <to>
                <xdr:col>1</xdr:col>
                <xdr:colOff>695325</xdr:colOff>
                <xdr:row>239</xdr:row>
                <xdr:rowOff>28575</xdr:rowOff>
              </to>
            </anchor>
          </objectPr>
        </oleObject>
      </mc:Choice>
      <mc:Fallback>
        <oleObject progId="Equation.3" shapeId="5206" r:id="rId104"/>
      </mc:Fallback>
    </mc:AlternateContent>
    <mc:AlternateContent xmlns:mc="http://schemas.openxmlformats.org/markup-compatibility/2006">
      <mc:Choice Requires="x14">
        <oleObject progId="Equation.3" shapeId="5207" r:id="rId106">
          <objectPr defaultSize="0" autoPict="0" r:id="rId107">
            <anchor moveWithCells="1" sizeWithCells="1">
              <from>
                <xdr:col>1</xdr:col>
                <xdr:colOff>0</xdr:colOff>
                <xdr:row>240</xdr:row>
                <xdr:rowOff>0</xdr:rowOff>
              </from>
              <to>
                <xdr:col>1</xdr:col>
                <xdr:colOff>371475</xdr:colOff>
                <xdr:row>241</xdr:row>
                <xdr:rowOff>28575</xdr:rowOff>
              </to>
            </anchor>
          </objectPr>
        </oleObject>
      </mc:Choice>
      <mc:Fallback>
        <oleObject progId="Equation.3" shapeId="5207" r:id="rId106"/>
      </mc:Fallback>
    </mc:AlternateContent>
    <mc:AlternateContent xmlns:mc="http://schemas.openxmlformats.org/markup-compatibility/2006">
      <mc:Choice Requires="x14">
        <oleObject progId="Equation.3" shapeId="5208" r:id="rId108">
          <objectPr defaultSize="0" autoPict="0" r:id="rId109">
            <anchor moveWithCells="1" sizeWithCells="1">
              <from>
                <xdr:col>1</xdr:col>
                <xdr:colOff>0</xdr:colOff>
                <xdr:row>247</xdr:row>
                <xdr:rowOff>0</xdr:rowOff>
              </from>
              <to>
                <xdr:col>1</xdr:col>
                <xdr:colOff>428625</xdr:colOff>
                <xdr:row>248</xdr:row>
                <xdr:rowOff>38100</xdr:rowOff>
              </to>
            </anchor>
          </objectPr>
        </oleObject>
      </mc:Choice>
      <mc:Fallback>
        <oleObject progId="Equation.3" shapeId="5208" r:id="rId108"/>
      </mc:Fallback>
    </mc:AlternateContent>
    <mc:AlternateContent xmlns:mc="http://schemas.openxmlformats.org/markup-compatibility/2006">
      <mc:Choice Requires="x14">
        <oleObject progId="Equation.3" shapeId="5209" r:id="rId110">
          <objectPr defaultSize="0" autoPict="0" r:id="rId111">
            <anchor moveWithCells="1" sizeWithCells="1">
              <from>
                <xdr:col>2</xdr:col>
                <xdr:colOff>0</xdr:colOff>
                <xdr:row>247</xdr:row>
                <xdr:rowOff>0</xdr:rowOff>
              </from>
              <to>
                <xdr:col>2</xdr:col>
                <xdr:colOff>381000</xdr:colOff>
                <xdr:row>249</xdr:row>
                <xdr:rowOff>76200</xdr:rowOff>
              </to>
            </anchor>
          </objectPr>
        </oleObject>
      </mc:Choice>
      <mc:Fallback>
        <oleObject progId="Equation.3" shapeId="5209" r:id="rId110"/>
      </mc:Fallback>
    </mc:AlternateContent>
    <mc:AlternateContent xmlns:mc="http://schemas.openxmlformats.org/markup-compatibility/2006">
      <mc:Choice Requires="x14">
        <oleObject progId="Equation.3" shapeId="5213" r:id="rId112">
          <objectPr defaultSize="0" autoPict="0" r:id="rId113">
            <anchor moveWithCells="1" sizeWithCells="1">
              <from>
                <xdr:col>1</xdr:col>
                <xdr:colOff>0</xdr:colOff>
                <xdr:row>250</xdr:row>
                <xdr:rowOff>0</xdr:rowOff>
              </from>
              <to>
                <xdr:col>1</xdr:col>
                <xdr:colOff>485775</xdr:colOff>
                <xdr:row>250</xdr:row>
                <xdr:rowOff>276225</xdr:rowOff>
              </to>
            </anchor>
          </objectPr>
        </oleObject>
      </mc:Choice>
      <mc:Fallback>
        <oleObject progId="Equation.3" shapeId="5213" r:id="rId112"/>
      </mc:Fallback>
    </mc:AlternateContent>
    <mc:AlternateContent xmlns:mc="http://schemas.openxmlformats.org/markup-compatibility/2006">
      <mc:Choice Requires="x14">
        <oleObject progId="Equation.3" shapeId="5214" r:id="rId114">
          <objectPr defaultSize="0" autoPict="0" r:id="rId115">
            <anchor moveWithCells="1" sizeWithCells="1">
              <from>
                <xdr:col>1</xdr:col>
                <xdr:colOff>0</xdr:colOff>
                <xdr:row>252</xdr:row>
                <xdr:rowOff>0</xdr:rowOff>
              </from>
              <to>
                <xdr:col>1</xdr:col>
                <xdr:colOff>257175</xdr:colOff>
                <xdr:row>252</xdr:row>
                <xdr:rowOff>228600</xdr:rowOff>
              </to>
            </anchor>
          </objectPr>
        </oleObject>
      </mc:Choice>
      <mc:Fallback>
        <oleObject progId="Equation.3" shapeId="5214" r:id="rId114"/>
      </mc:Fallback>
    </mc:AlternateContent>
    <mc:AlternateContent xmlns:mc="http://schemas.openxmlformats.org/markup-compatibility/2006">
      <mc:Choice Requires="x14">
        <oleObject progId="Equation.3" shapeId="5220" r:id="rId116">
          <objectPr defaultSize="0" autoPict="0" r:id="rId117">
            <anchor moveWithCells="1" sizeWithCells="1">
              <from>
                <xdr:col>2</xdr:col>
                <xdr:colOff>0</xdr:colOff>
                <xdr:row>256</xdr:row>
                <xdr:rowOff>0</xdr:rowOff>
              </from>
              <to>
                <xdr:col>4</xdr:col>
                <xdr:colOff>457200</xdr:colOff>
                <xdr:row>257</xdr:row>
                <xdr:rowOff>66675</xdr:rowOff>
              </to>
            </anchor>
          </objectPr>
        </oleObject>
      </mc:Choice>
      <mc:Fallback>
        <oleObject progId="Equation.3" shapeId="5220" r:id="rId116"/>
      </mc:Fallback>
    </mc:AlternateContent>
    <mc:AlternateContent xmlns:mc="http://schemas.openxmlformats.org/markup-compatibility/2006">
      <mc:Choice Requires="x14">
        <oleObject progId="Equation.3" shapeId="5222" r:id="rId118">
          <objectPr defaultSize="0" autoPict="0" r:id="rId119">
            <anchor moveWithCells="1" sizeWithCells="1">
              <from>
                <xdr:col>1</xdr:col>
                <xdr:colOff>0</xdr:colOff>
                <xdr:row>259</xdr:row>
                <xdr:rowOff>0</xdr:rowOff>
              </from>
              <to>
                <xdr:col>1</xdr:col>
                <xdr:colOff>314325</xdr:colOff>
                <xdr:row>259</xdr:row>
                <xdr:rowOff>238125</xdr:rowOff>
              </to>
            </anchor>
          </objectPr>
        </oleObject>
      </mc:Choice>
      <mc:Fallback>
        <oleObject progId="Equation.3" shapeId="5222" r:id="rId118"/>
      </mc:Fallback>
    </mc:AlternateContent>
    <mc:AlternateContent xmlns:mc="http://schemas.openxmlformats.org/markup-compatibility/2006">
      <mc:Choice Requires="x14">
        <oleObject progId="Equation.3" shapeId="5223" r:id="rId120">
          <objectPr defaultSize="0" autoPict="0" r:id="rId121">
            <anchor moveWithCells="1" sizeWithCells="1">
              <from>
                <xdr:col>1</xdr:col>
                <xdr:colOff>0</xdr:colOff>
                <xdr:row>261</xdr:row>
                <xdr:rowOff>0</xdr:rowOff>
              </from>
              <to>
                <xdr:col>1</xdr:col>
                <xdr:colOff>219075</xdr:colOff>
                <xdr:row>261</xdr:row>
                <xdr:rowOff>228600</xdr:rowOff>
              </to>
            </anchor>
          </objectPr>
        </oleObject>
      </mc:Choice>
      <mc:Fallback>
        <oleObject progId="Equation.3" shapeId="5223" r:id="rId120"/>
      </mc:Fallback>
    </mc:AlternateContent>
    <mc:AlternateContent xmlns:mc="http://schemas.openxmlformats.org/markup-compatibility/2006">
      <mc:Choice Requires="x14">
        <oleObject progId="Equation.3" shapeId="5224" r:id="rId122">
          <objectPr defaultSize="0" autoPict="0" r:id="rId123">
            <anchor moveWithCells="1" sizeWithCells="1">
              <from>
                <xdr:col>1</xdr:col>
                <xdr:colOff>0</xdr:colOff>
                <xdr:row>263</xdr:row>
                <xdr:rowOff>0</xdr:rowOff>
              </from>
              <to>
                <xdr:col>1</xdr:col>
                <xdr:colOff>590550</xdr:colOff>
                <xdr:row>263</xdr:row>
                <xdr:rowOff>238125</xdr:rowOff>
              </to>
            </anchor>
          </objectPr>
        </oleObject>
      </mc:Choice>
      <mc:Fallback>
        <oleObject progId="Equation.3" shapeId="5224" r:id="rId122"/>
      </mc:Fallback>
    </mc:AlternateContent>
    <mc:AlternateContent xmlns:mc="http://schemas.openxmlformats.org/markup-compatibility/2006">
      <mc:Choice Requires="x14">
        <oleObject progId="Equation.3" shapeId="5226" r:id="rId124">
          <objectPr defaultSize="0" autoPict="0" r:id="rId125">
            <anchor moveWithCells="1" sizeWithCells="1">
              <from>
                <xdr:col>2</xdr:col>
                <xdr:colOff>0</xdr:colOff>
                <xdr:row>267</xdr:row>
                <xdr:rowOff>0</xdr:rowOff>
              </from>
              <to>
                <xdr:col>4</xdr:col>
                <xdr:colOff>342900</xdr:colOff>
                <xdr:row>271</xdr:row>
                <xdr:rowOff>0</xdr:rowOff>
              </to>
            </anchor>
          </objectPr>
        </oleObject>
      </mc:Choice>
      <mc:Fallback>
        <oleObject progId="Equation.3" shapeId="5226" r:id="rId124"/>
      </mc:Fallback>
    </mc:AlternateContent>
    <mc:AlternateContent xmlns:mc="http://schemas.openxmlformats.org/markup-compatibility/2006">
      <mc:Choice Requires="x14">
        <oleObject progId="Equation.3" shapeId="5232" r:id="rId126">
          <objectPr defaultSize="0" autoPict="0" r:id="rId127">
            <anchor moveWithCells="1" sizeWithCells="1">
              <from>
                <xdr:col>1</xdr:col>
                <xdr:colOff>0</xdr:colOff>
                <xdr:row>288</xdr:row>
                <xdr:rowOff>0</xdr:rowOff>
              </from>
              <to>
                <xdr:col>3</xdr:col>
                <xdr:colOff>371475</xdr:colOff>
                <xdr:row>290</xdr:row>
                <xdr:rowOff>104775</xdr:rowOff>
              </to>
            </anchor>
          </objectPr>
        </oleObject>
      </mc:Choice>
      <mc:Fallback>
        <oleObject progId="Equation.3" shapeId="5232" r:id="rId126"/>
      </mc:Fallback>
    </mc:AlternateContent>
    <mc:AlternateContent xmlns:mc="http://schemas.openxmlformats.org/markup-compatibility/2006">
      <mc:Choice Requires="x14">
        <oleObject progId="Equation.3" shapeId="5233" r:id="rId128">
          <objectPr defaultSize="0" autoPict="0" r:id="rId129">
            <anchor moveWithCells="1" sizeWithCells="1">
              <from>
                <xdr:col>1</xdr:col>
                <xdr:colOff>0</xdr:colOff>
                <xdr:row>292</xdr:row>
                <xdr:rowOff>0</xdr:rowOff>
              </from>
              <to>
                <xdr:col>1</xdr:col>
                <xdr:colOff>542925</xdr:colOff>
                <xdr:row>292</xdr:row>
                <xdr:rowOff>238125</xdr:rowOff>
              </to>
            </anchor>
          </objectPr>
        </oleObject>
      </mc:Choice>
      <mc:Fallback>
        <oleObject progId="Equation.3" shapeId="5233" r:id="rId128"/>
      </mc:Fallback>
    </mc:AlternateContent>
    <mc:AlternateContent xmlns:mc="http://schemas.openxmlformats.org/markup-compatibility/2006">
      <mc:Choice Requires="x14">
        <oleObject progId="Equation.3" shapeId="5234" r:id="rId130">
          <objectPr defaultSize="0" autoPict="0" r:id="rId131">
            <anchor moveWithCells="1" sizeWithCells="1">
              <from>
                <xdr:col>1</xdr:col>
                <xdr:colOff>0</xdr:colOff>
                <xdr:row>294</xdr:row>
                <xdr:rowOff>0</xdr:rowOff>
              </from>
              <to>
                <xdr:col>1</xdr:col>
                <xdr:colOff>600075</xdr:colOff>
                <xdr:row>294</xdr:row>
                <xdr:rowOff>266700</xdr:rowOff>
              </to>
            </anchor>
          </objectPr>
        </oleObject>
      </mc:Choice>
      <mc:Fallback>
        <oleObject progId="Equation.3" shapeId="5234" r:id="rId130"/>
      </mc:Fallback>
    </mc:AlternateContent>
    <mc:AlternateContent xmlns:mc="http://schemas.openxmlformats.org/markup-compatibility/2006">
      <mc:Choice Requires="x14">
        <oleObject progId="Equation.3" shapeId="5235" r:id="rId132">
          <objectPr defaultSize="0" autoPict="0" r:id="rId133">
            <anchor moveWithCells="1" sizeWithCells="1">
              <from>
                <xdr:col>1</xdr:col>
                <xdr:colOff>0</xdr:colOff>
                <xdr:row>296</xdr:row>
                <xdr:rowOff>0</xdr:rowOff>
              </from>
              <to>
                <xdr:col>1</xdr:col>
                <xdr:colOff>314325</xdr:colOff>
                <xdr:row>297</xdr:row>
                <xdr:rowOff>114300</xdr:rowOff>
              </to>
            </anchor>
          </objectPr>
        </oleObject>
      </mc:Choice>
      <mc:Fallback>
        <oleObject progId="Equation.3" shapeId="5235" r:id="rId132"/>
      </mc:Fallback>
    </mc:AlternateContent>
    <mc:AlternateContent xmlns:mc="http://schemas.openxmlformats.org/markup-compatibility/2006">
      <mc:Choice Requires="x14">
        <oleObject progId="Equation.3" shapeId="5241" r:id="rId134">
          <objectPr defaultSize="0" autoPict="0" r:id="rId73">
            <anchor moveWithCells="1" sizeWithCells="1">
              <from>
                <xdr:col>1</xdr:col>
                <xdr:colOff>0</xdr:colOff>
                <xdr:row>315</xdr:row>
                <xdr:rowOff>0</xdr:rowOff>
              </from>
              <to>
                <xdr:col>2</xdr:col>
                <xdr:colOff>409575</xdr:colOff>
                <xdr:row>315</xdr:row>
                <xdr:rowOff>0</xdr:rowOff>
              </to>
            </anchor>
          </objectPr>
        </oleObject>
      </mc:Choice>
      <mc:Fallback>
        <oleObject progId="Equation.3" shapeId="5241" r:id="rId134"/>
      </mc:Fallback>
    </mc:AlternateContent>
    <mc:AlternateContent xmlns:mc="http://schemas.openxmlformats.org/markup-compatibility/2006">
      <mc:Choice Requires="x14">
        <oleObject progId="Equation.3" shapeId="5242" r:id="rId135">
          <objectPr defaultSize="0" autoPict="0" r:id="rId75">
            <anchor moveWithCells="1" sizeWithCells="1">
              <from>
                <xdr:col>1</xdr:col>
                <xdr:colOff>0</xdr:colOff>
                <xdr:row>315</xdr:row>
                <xdr:rowOff>0</xdr:rowOff>
              </from>
              <to>
                <xdr:col>2</xdr:col>
                <xdr:colOff>504825</xdr:colOff>
                <xdr:row>315</xdr:row>
                <xdr:rowOff>0</xdr:rowOff>
              </to>
            </anchor>
          </objectPr>
        </oleObject>
      </mc:Choice>
      <mc:Fallback>
        <oleObject progId="Equation.3" shapeId="5242" r:id="rId135"/>
      </mc:Fallback>
    </mc:AlternateContent>
    <mc:AlternateContent xmlns:mc="http://schemas.openxmlformats.org/markup-compatibility/2006">
      <mc:Choice Requires="x14">
        <oleObject progId="Equation.3" shapeId="5248" r:id="rId136">
          <objectPr defaultSize="0" autoPict="0" r:id="rId77">
            <anchor moveWithCells="1" sizeWithCells="1">
              <from>
                <xdr:col>1</xdr:col>
                <xdr:colOff>0</xdr:colOff>
                <xdr:row>315</xdr:row>
                <xdr:rowOff>0</xdr:rowOff>
              </from>
              <to>
                <xdr:col>1</xdr:col>
                <xdr:colOff>561975</xdr:colOff>
                <xdr:row>315</xdr:row>
                <xdr:rowOff>0</xdr:rowOff>
              </to>
            </anchor>
          </objectPr>
        </oleObject>
      </mc:Choice>
      <mc:Fallback>
        <oleObject progId="Equation.3" shapeId="5248" r:id="rId136"/>
      </mc:Fallback>
    </mc:AlternateContent>
    <mc:AlternateContent xmlns:mc="http://schemas.openxmlformats.org/markup-compatibility/2006">
      <mc:Choice Requires="x14">
        <oleObject progId="Equation.3" shapeId="5249" r:id="rId137">
          <objectPr defaultSize="0" autoPict="0" r:id="rId79">
            <anchor moveWithCells="1" sizeWithCells="1">
              <from>
                <xdr:col>1</xdr:col>
                <xdr:colOff>0</xdr:colOff>
                <xdr:row>315</xdr:row>
                <xdr:rowOff>0</xdr:rowOff>
              </from>
              <to>
                <xdr:col>1</xdr:col>
                <xdr:colOff>676275</xdr:colOff>
                <xdr:row>315</xdr:row>
                <xdr:rowOff>0</xdr:rowOff>
              </to>
            </anchor>
          </objectPr>
        </oleObject>
      </mc:Choice>
      <mc:Fallback>
        <oleObject progId="Equation.3" shapeId="5249" r:id="rId137"/>
      </mc:Fallback>
    </mc:AlternateContent>
    <mc:AlternateContent xmlns:mc="http://schemas.openxmlformats.org/markup-compatibility/2006">
      <mc:Choice Requires="x14">
        <oleObject progId="Equation.3" shapeId="5250" r:id="rId138">
          <objectPr defaultSize="0" autoPict="0" r:id="rId139">
            <anchor moveWithCells="1" sizeWithCells="1">
              <from>
                <xdr:col>1</xdr:col>
                <xdr:colOff>0</xdr:colOff>
                <xdr:row>320</xdr:row>
                <xdr:rowOff>0</xdr:rowOff>
              </from>
              <to>
                <xdr:col>1</xdr:col>
                <xdr:colOff>447675</xdr:colOff>
                <xdr:row>321</xdr:row>
                <xdr:rowOff>47625</xdr:rowOff>
              </to>
            </anchor>
          </objectPr>
        </oleObject>
      </mc:Choice>
      <mc:Fallback>
        <oleObject progId="Equation.3" shapeId="5250" r:id="rId138"/>
      </mc:Fallback>
    </mc:AlternateContent>
    <mc:AlternateContent xmlns:mc="http://schemas.openxmlformats.org/markup-compatibility/2006">
      <mc:Choice Requires="x14">
        <oleObject progId="Equation.3" shapeId="5251" r:id="rId140">
          <objectPr defaultSize="0" autoPict="0" r:id="rId141">
            <anchor moveWithCells="1" sizeWithCells="1">
              <from>
                <xdr:col>1</xdr:col>
                <xdr:colOff>0</xdr:colOff>
                <xdr:row>322</xdr:row>
                <xdr:rowOff>0</xdr:rowOff>
              </from>
              <to>
                <xdr:col>1</xdr:col>
                <xdr:colOff>276225</xdr:colOff>
                <xdr:row>322</xdr:row>
                <xdr:rowOff>238125</xdr:rowOff>
              </to>
            </anchor>
          </objectPr>
        </oleObject>
      </mc:Choice>
      <mc:Fallback>
        <oleObject progId="Equation.3" shapeId="5251" r:id="rId140"/>
      </mc:Fallback>
    </mc:AlternateContent>
    <mc:AlternateContent xmlns:mc="http://schemas.openxmlformats.org/markup-compatibility/2006">
      <mc:Choice Requires="x14">
        <oleObject progId="Equation.3" shapeId="5252" r:id="rId142">
          <objectPr defaultSize="0" autoPict="0" r:id="rId69">
            <anchor moveWithCells="1" sizeWithCells="1">
              <from>
                <xdr:col>1</xdr:col>
                <xdr:colOff>0</xdr:colOff>
                <xdr:row>315</xdr:row>
                <xdr:rowOff>0</xdr:rowOff>
              </from>
              <to>
                <xdr:col>1</xdr:col>
                <xdr:colOff>523875</xdr:colOff>
                <xdr:row>315</xdr:row>
                <xdr:rowOff>0</xdr:rowOff>
              </to>
            </anchor>
          </objectPr>
        </oleObject>
      </mc:Choice>
      <mc:Fallback>
        <oleObject progId="Equation.3" shapeId="5252" r:id="rId142"/>
      </mc:Fallback>
    </mc:AlternateContent>
    <mc:AlternateContent xmlns:mc="http://schemas.openxmlformats.org/markup-compatibility/2006">
      <mc:Choice Requires="x14">
        <oleObject progId="Equation.3" shapeId="5253" r:id="rId143">
          <objectPr defaultSize="0" autoPict="0" r:id="rId71">
            <anchor moveWithCells="1" sizeWithCells="1">
              <from>
                <xdr:col>1</xdr:col>
                <xdr:colOff>0</xdr:colOff>
                <xdr:row>315</xdr:row>
                <xdr:rowOff>0</xdr:rowOff>
              </from>
              <to>
                <xdr:col>1</xdr:col>
                <xdr:colOff>647700</xdr:colOff>
                <xdr:row>315</xdr:row>
                <xdr:rowOff>0</xdr:rowOff>
              </to>
            </anchor>
          </objectPr>
        </oleObject>
      </mc:Choice>
      <mc:Fallback>
        <oleObject progId="Equation.3" shapeId="5253" r:id="rId143"/>
      </mc:Fallback>
    </mc:AlternateContent>
    <mc:AlternateContent xmlns:mc="http://schemas.openxmlformats.org/markup-compatibility/2006">
      <mc:Choice Requires="x14">
        <oleObject progId="Equation.3" shapeId="5256" r:id="rId144">
          <objectPr defaultSize="0" autoPict="0" r:id="rId145">
            <anchor moveWithCells="1" sizeWithCells="1">
              <from>
                <xdr:col>1</xdr:col>
                <xdr:colOff>0</xdr:colOff>
                <xdr:row>308</xdr:row>
                <xdr:rowOff>0</xdr:rowOff>
              </from>
              <to>
                <xdr:col>1</xdr:col>
                <xdr:colOff>523875</xdr:colOff>
                <xdr:row>309</xdr:row>
                <xdr:rowOff>9525</xdr:rowOff>
              </to>
            </anchor>
          </objectPr>
        </oleObject>
      </mc:Choice>
      <mc:Fallback>
        <oleObject progId="Equation.3" shapeId="5256" r:id="rId144"/>
      </mc:Fallback>
    </mc:AlternateContent>
    <mc:AlternateContent xmlns:mc="http://schemas.openxmlformats.org/markup-compatibility/2006">
      <mc:Choice Requires="x14">
        <oleObject progId="Equation.3" shapeId="5259" r:id="rId146">
          <objectPr defaultSize="0" autoPict="0" r:id="rId147">
            <anchor moveWithCells="1" sizeWithCells="1">
              <from>
                <xdr:col>1</xdr:col>
                <xdr:colOff>0</xdr:colOff>
                <xdr:row>312</xdr:row>
                <xdr:rowOff>0</xdr:rowOff>
              </from>
              <to>
                <xdr:col>1</xdr:col>
                <xdr:colOff>561975</xdr:colOff>
                <xdr:row>313</xdr:row>
                <xdr:rowOff>38100</xdr:rowOff>
              </to>
            </anchor>
          </objectPr>
        </oleObject>
      </mc:Choice>
      <mc:Fallback>
        <oleObject progId="Equation.3" shapeId="5259" r:id="rId146"/>
      </mc:Fallback>
    </mc:AlternateContent>
    <mc:AlternateContent xmlns:mc="http://schemas.openxmlformats.org/markup-compatibility/2006">
      <mc:Choice Requires="x14">
        <oleObject progId="Equation.3" shapeId="5260" r:id="rId148">
          <objectPr defaultSize="0" autoPict="0" r:id="rId81">
            <anchor moveWithCells="1" sizeWithCells="1">
              <from>
                <xdr:col>1</xdr:col>
                <xdr:colOff>0</xdr:colOff>
                <xdr:row>220</xdr:row>
                <xdr:rowOff>0</xdr:rowOff>
              </from>
              <to>
                <xdr:col>1</xdr:col>
                <xdr:colOff>542925</xdr:colOff>
                <xdr:row>221</xdr:row>
                <xdr:rowOff>47625</xdr:rowOff>
              </to>
            </anchor>
          </objectPr>
        </oleObject>
      </mc:Choice>
      <mc:Fallback>
        <oleObject progId="Equation.3" shapeId="5260" r:id="rId148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opLeftCell="B37" workbookViewId="0">
      <selection activeCell="O55" sqref="O55"/>
    </sheetView>
  </sheetViews>
  <sheetFormatPr defaultRowHeight="15" x14ac:dyDescent="0.25"/>
  <cols>
    <col min="2" max="2" width="14.85546875" customWidth="1"/>
    <col min="3" max="3" width="17.5703125" customWidth="1"/>
  </cols>
  <sheetData>
    <row r="1" spans="1:17" ht="15.75" thickBot="1" x14ac:dyDescent="0.3">
      <c r="A1" s="825" t="s">
        <v>310</v>
      </c>
      <c r="B1" s="825"/>
      <c r="C1" s="825"/>
      <c r="D1" s="825"/>
      <c r="E1" s="825"/>
      <c r="F1" s="825"/>
      <c r="G1" s="825"/>
      <c r="H1" s="825"/>
      <c r="I1" s="825"/>
      <c r="J1" s="825"/>
      <c r="K1" s="825"/>
      <c r="L1" s="825"/>
      <c r="M1" s="215"/>
      <c r="N1" s="215"/>
      <c r="O1" s="215"/>
      <c r="P1" s="215"/>
      <c r="Q1" s="215"/>
    </row>
    <row r="2" spans="1:17" x14ac:dyDescent="0.25">
      <c r="A2" s="826" t="s">
        <v>311</v>
      </c>
      <c r="B2" s="826" t="s">
        <v>312</v>
      </c>
      <c r="C2" s="828" t="s">
        <v>313</v>
      </c>
      <c r="D2" s="830" t="s">
        <v>314</v>
      </c>
      <c r="E2" s="832" t="s">
        <v>315</v>
      </c>
      <c r="F2" s="832" t="s">
        <v>316</v>
      </c>
      <c r="G2" s="828" t="s">
        <v>317</v>
      </c>
      <c r="H2" s="833" t="s">
        <v>318</v>
      </c>
      <c r="I2" s="835" t="s">
        <v>319</v>
      </c>
      <c r="J2" s="830" t="s">
        <v>320</v>
      </c>
      <c r="K2" s="839" t="s">
        <v>323</v>
      </c>
      <c r="L2" s="840" t="s">
        <v>324</v>
      </c>
      <c r="M2" s="842" t="s">
        <v>325</v>
      </c>
      <c r="N2" s="837" t="s">
        <v>326</v>
      </c>
      <c r="O2" s="215"/>
      <c r="P2" s="215"/>
      <c r="Q2" s="215"/>
    </row>
    <row r="3" spans="1:17" ht="34.700000000000003" customHeight="1" x14ac:dyDescent="0.25">
      <c r="A3" s="827"/>
      <c r="B3" s="827"/>
      <c r="C3" s="829"/>
      <c r="D3" s="831"/>
      <c r="E3" s="829"/>
      <c r="F3" s="829"/>
      <c r="G3" s="829"/>
      <c r="H3" s="834"/>
      <c r="I3" s="836"/>
      <c r="J3" s="831"/>
      <c r="K3" s="831"/>
      <c r="L3" s="841"/>
      <c r="M3" s="843"/>
      <c r="N3" s="838"/>
      <c r="O3" s="215"/>
      <c r="P3" s="215"/>
      <c r="Q3" s="215"/>
    </row>
    <row r="4" spans="1:17" x14ac:dyDescent="0.25">
      <c r="A4" s="216">
        <v>1</v>
      </c>
      <c r="B4" s="217" t="s">
        <v>327</v>
      </c>
      <c r="C4" s="218" t="s">
        <v>822</v>
      </c>
      <c r="D4" s="219">
        <v>25000</v>
      </c>
      <c r="E4" s="220">
        <v>22</v>
      </c>
      <c r="F4" s="220">
        <v>22</v>
      </c>
      <c r="G4" s="220">
        <v>3.1</v>
      </c>
      <c r="H4" s="221">
        <v>0.04</v>
      </c>
      <c r="I4" s="222">
        <f t="shared" ref="I4:I67" si="0">D4*H4/F4*E4</f>
        <v>1000</v>
      </c>
      <c r="J4" s="222"/>
      <c r="K4" s="223"/>
      <c r="L4" s="224">
        <f t="shared" ref="L4:L67" si="1">I4</f>
        <v>1000</v>
      </c>
      <c r="M4" s="224">
        <f>'[1]АУП и УВП аттестац июль'!L4+'[1]АУП и УВП аттестац август'!L4+'[1]АУП и УВП аттестац сентябрь'!L4+'[1]АУП и УВП аттестац окт'!L4+'[1]АУП и УВП аттестац ноябрь'!L4+'[1]АУП и УВП аттестац декабрь (2)'!L4</f>
        <v>5047.62</v>
      </c>
      <c r="N4" s="216">
        <f>D4*4%</f>
        <v>1000</v>
      </c>
      <c r="O4" s="225"/>
      <c r="P4" s="225"/>
      <c r="Q4" s="225"/>
    </row>
    <row r="5" spans="1:17" x14ac:dyDescent="0.25">
      <c r="A5" s="226">
        <v>2</v>
      </c>
      <c r="B5" s="227" t="s">
        <v>328</v>
      </c>
      <c r="C5" s="228" t="s">
        <v>329</v>
      </c>
      <c r="D5" s="229">
        <f>22500</f>
        <v>22500</v>
      </c>
      <c r="E5" s="220">
        <v>22</v>
      </c>
      <c r="F5" s="220">
        <v>22</v>
      </c>
      <c r="G5" s="230">
        <v>3.1</v>
      </c>
      <c r="H5" s="231">
        <v>0.04</v>
      </c>
      <c r="I5" s="232">
        <f t="shared" si="0"/>
        <v>900</v>
      </c>
      <c r="J5" s="232"/>
      <c r="K5" s="233"/>
      <c r="L5" s="234">
        <f t="shared" si="1"/>
        <v>900</v>
      </c>
      <c r="M5" s="224">
        <f>'[1]АУП и УВП аттестац июль'!L5+'[1]АУП и УВП аттестац август'!L5+'[1]АУП и УВП аттестац сентябрь'!L5+'[1]АУП и УВП аттестац окт'!L5+'[1]АУП и УВП аттестац ноябрь'!L5+'[1]АУП и УВП аттестац декабрь (2)'!L5</f>
        <v>4237.2700000000004</v>
      </c>
      <c r="N5" s="216">
        <f t="shared" ref="N5:N68" si="2">D5*4%</f>
        <v>900</v>
      </c>
      <c r="O5" s="225"/>
      <c r="P5" s="225"/>
      <c r="Q5" s="225"/>
    </row>
    <row r="6" spans="1:17" ht="15.75" thickBot="1" x14ac:dyDescent="0.3">
      <c r="A6" s="235">
        <v>3</v>
      </c>
      <c r="B6" s="236" t="s">
        <v>330</v>
      </c>
      <c r="C6" s="218" t="s">
        <v>331</v>
      </c>
      <c r="D6" s="219">
        <v>20000</v>
      </c>
      <c r="E6" s="220">
        <v>22</v>
      </c>
      <c r="F6" s="220">
        <v>22</v>
      </c>
      <c r="G6" s="220">
        <v>3.1</v>
      </c>
      <c r="H6" s="231">
        <v>0.04</v>
      </c>
      <c r="I6" s="232">
        <f t="shared" si="0"/>
        <v>800</v>
      </c>
      <c r="J6" s="232"/>
      <c r="K6" s="222"/>
      <c r="L6" s="234">
        <f t="shared" si="1"/>
        <v>800</v>
      </c>
      <c r="M6" s="224">
        <f>'[1]АУП и УВП аттестац июль'!L6+'[1]АУП и УВП аттестац август'!L6+'[1]АУП и УВП аттестац сентябрь'!L6+'[1]АУП и УВП аттестац окт'!L6+'[1]АУП и УВП аттестац ноябрь'!L6+'[1]АУП и УВП аттестац декабрь (2)'!L6</f>
        <v>3355.84</v>
      </c>
      <c r="N6" s="216">
        <f t="shared" si="2"/>
        <v>800</v>
      </c>
      <c r="O6" s="225"/>
      <c r="P6" s="225"/>
      <c r="Q6" s="225"/>
    </row>
    <row r="7" spans="1:17" x14ac:dyDescent="0.25">
      <c r="A7" s="237">
        <v>4</v>
      </c>
      <c r="B7" s="236" t="s">
        <v>332</v>
      </c>
      <c r="C7" s="218" t="s">
        <v>333</v>
      </c>
      <c r="D7" s="219">
        <f>6240</f>
        <v>6240</v>
      </c>
      <c r="E7" s="220">
        <v>22</v>
      </c>
      <c r="F7" s="220">
        <v>22</v>
      </c>
      <c r="G7" s="220">
        <v>3.2</v>
      </c>
      <c r="H7" s="231">
        <v>0.08</v>
      </c>
      <c r="I7" s="232">
        <f t="shared" si="0"/>
        <v>499.2</v>
      </c>
      <c r="J7" s="222"/>
      <c r="K7" s="222"/>
      <c r="L7" s="234">
        <f t="shared" si="1"/>
        <v>499.2</v>
      </c>
      <c r="M7" s="224">
        <f>'[1]АУП и УВП аттестац июль'!L7+'[1]АУП и УВП аттестац август'!L7+'[1]АУП и УВП аттестац сентябрь'!L7+'[1]АУП и УВП аттестац окт'!L7+'[1]АУП и УВП аттестац ноябрь'!L7+'[1]АУП и УВП аттестац декабрь (2)'!L7</f>
        <v>2068.12</v>
      </c>
      <c r="N7" s="216">
        <f>D7*8%</f>
        <v>499.2</v>
      </c>
      <c r="O7" s="225"/>
      <c r="P7" s="225"/>
      <c r="Q7" s="225"/>
    </row>
    <row r="8" spans="1:17" x14ac:dyDescent="0.25">
      <c r="A8" s="235">
        <v>5</v>
      </c>
      <c r="B8" s="236" t="s">
        <v>334</v>
      </c>
      <c r="C8" s="218" t="s">
        <v>335</v>
      </c>
      <c r="D8" s="219">
        <f>17500</f>
        <v>17500</v>
      </c>
      <c r="E8" s="220">
        <v>22</v>
      </c>
      <c r="F8" s="220">
        <v>22</v>
      </c>
      <c r="G8" s="220">
        <v>3.1</v>
      </c>
      <c r="H8" s="231">
        <v>0.04</v>
      </c>
      <c r="I8" s="232">
        <f t="shared" si="0"/>
        <v>700</v>
      </c>
      <c r="J8" s="232"/>
      <c r="K8" s="222"/>
      <c r="L8" s="234">
        <f t="shared" si="1"/>
        <v>700</v>
      </c>
      <c r="M8" s="224">
        <f>'[1]АУП и УВП аттестац июль'!L8+'[1]АУП и УВП аттестац август'!L8+'[1]АУП и УВП аттестац сентябрь'!L8+'[1]АУП и УВП аттестац окт'!L8+'[1]АУП и УВП аттестац ноябрь'!L8+'[1]АУП и УВП аттестац декабрь (2)'!L8</f>
        <v>3833.33</v>
      </c>
      <c r="N8" s="216">
        <f t="shared" si="2"/>
        <v>700</v>
      </c>
      <c r="O8" s="225"/>
      <c r="P8" s="225"/>
      <c r="Q8" s="225"/>
    </row>
    <row r="9" spans="1:17" x14ac:dyDescent="0.25">
      <c r="A9" s="235">
        <v>6</v>
      </c>
      <c r="B9" s="235" t="s">
        <v>336</v>
      </c>
      <c r="C9" s="218" t="s">
        <v>824</v>
      </c>
      <c r="D9" s="219">
        <v>22500</v>
      </c>
      <c r="E9" s="220">
        <v>22</v>
      </c>
      <c r="F9" s="220">
        <v>22</v>
      </c>
      <c r="G9" s="220">
        <v>3.1</v>
      </c>
      <c r="H9" s="231">
        <v>0.04</v>
      </c>
      <c r="I9" s="232">
        <f t="shared" si="0"/>
        <v>900</v>
      </c>
      <c r="J9" s="232"/>
      <c r="K9" s="222"/>
      <c r="L9" s="234">
        <f t="shared" si="1"/>
        <v>900</v>
      </c>
      <c r="M9" s="224">
        <f>'[1]АУП и УВП аттестац июль'!L9+'[1]АУП и УВП аттестац август'!L9+'[1]АУП и УВП аттестац сентябрь'!L9+'[1]АУП и УВП аттестац окт'!L9+'[1]АУП и УВП аттестац ноябрь'!L9+'[1]АУП и УВП аттестац декабрь (2)'!L9</f>
        <v>4567.17</v>
      </c>
      <c r="N9" s="216">
        <f t="shared" si="2"/>
        <v>900</v>
      </c>
      <c r="O9" s="225"/>
      <c r="P9" s="225"/>
      <c r="Q9" s="225"/>
    </row>
    <row r="10" spans="1:17" x14ac:dyDescent="0.25">
      <c r="A10" s="238">
        <v>7</v>
      </c>
      <c r="B10" s="239" t="s">
        <v>337</v>
      </c>
      <c r="C10" s="240" t="s">
        <v>338</v>
      </c>
      <c r="D10" s="241">
        <v>6240</v>
      </c>
      <c r="E10" s="242">
        <v>22</v>
      </c>
      <c r="F10" s="242">
        <v>22</v>
      </c>
      <c r="G10" s="240">
        <v>3.1</v>
      </c>
      <c r="H10" s="243">
        <v>0.04</v>
      </c>
      <c r="I10" s="244">
        <f t="shared" si="0"/>
        <v>249.6</v>
      </c>
      <c r="J10" s="244">
        <v>7</v>
      </c>
      <c r="K10" s="245">
        <v>36</v>
      </c>
      <c r="L10" s="246">
        <f t="shared" si="1"/>
        <v>249.6</v>
      </c>
      <c r="M10" s="247">
        <f>'[1]АУП и УВП аттестац июль'!L10+'[1]АУП и УВП аттестац август'!L10+'[1]АУП и УВП аттестац сентябрь'!L10+'[1]АУП и УВП аттестац окт'!L10+'[1]АУП и УВП аттестац ноябрь'!L10+'[1]АУП и УВП аттестац декабрь (2)'!L10</f>
        <v>1442.4</v>
      </c>
      <c r="N10" s="248">
        <f t="shared" si="2"/>
        <v>249.6</v>
      </c>
      <c r="O10" s="249"/>
      <c r="P10" s="249"/>
      <c r="Q10" s="249"/>
    </row>
    <row r="11" spans="1:17" ht="15.75" thickBot="1" x14ac:dyDescent="0.3">
      <c r="A11" s="250">
        <v>8</v>
      </c>
      <c r="B11" s="251" t="s">
        <v>339</v>
      </c>
      <c r="C11" s="252" t="s">
        <v>340</v>
      </c>
      <c r="D11" s="253">
        <v>4040</v>
      </c>
      <c r="E11" s="254">
        <v>22</v>
      </c>
      <c r="F11" s="254">
        <v>22</v>
      </c>
      <c r="G11" s="254">
        <v>3.1</v>
      </c>
      <c r="H11" s="255">
        <v>0.04</v>
      </c>
      <c r="I11" s="256">
        <f t="shared" si="0"/>
        <v>161.6</v>
      </c>
      <c r="J11" s="256"/>
      <c r="K11" s="257"/>
      <c r="L11" s="258">
        <f t="shared" si="1"/>
        <v>161.6</v>
      </c>
      <c r="M11" s="259">
        <f>'[1]АУП и УВП аттестац июль'!L11+'[1]АУП и УВП аттестац август'!L11+'[1]АУП и УВП аттестац сентябрь'!L11+'[1]АУП и УВП аттестац окт'!L11+'[1]АУП и УВП аттестац ноябрь'!L11+'[1]АУП и УВП аттестац декабрь (2)'!L11</f>
        <v>934.47</v>
      </c>
      <c r="N11" s="260">
        <f t="shared" si="2"/>
        <v>161.6</v>
      </c>
      <c r="O11" s="261"/>
      <c r="P11" s="261"/>
      <c r="Q11" s="261"/>
    </row>
    <row r="12" spans="1:17" x14ac:dyDescent="0.25">
      <c r="A12" s="237">
        <v>9</v>
      </c>
      <c r="B12" s="236" t="s">
        <v>341</v>
      </c>
      <c r="C12" s="218" t="s">
        <v>342</v>
      </c>
      <c r="D12" s="219">
        <v>2720</v>
      </c>
      <c r="E12" s="220">
        <v>22</v>
      </c>
      <c r="F12" s="220">
        <v>22</v>
      </c>
      <c r="G12" s="220">
        <v>3.1</v>
      </c>
      <c r="H12" s="231">
        <v>0.04</v>
      </c>
      <c r="I12" s="232">
        <f t="shared" si="0"/>
        <v>108.8</v>
      </c>
      <c r="J12" s="232"/>
      <c r="K12" s="222"/>
      <c r="L12" s="234">
        <f t="shared" si="1"/>
        <v>108.8</v>
      </c>
      <c r="M12" s="224">
        <f>'[1]АУП и УВП аттестац июль'!L12+'[1]АУП и УВП аттестац август'!L12+'[1]АУП и УВП аттестац сентябрь'!L12+'[1]АУП и УВП аттестац окт'!L12+'[1]АУП и УВП аттестац ноябрь'!L12+'[1]АУП и УВП аттестац декабрь (2)'!L12</f>
        <v>425.57</v>
      </c>
      <c r="N12" s="216">
        <f t="shared" si="2"/>
        <v>108.8</v>
      </c>
      <c r="O12" s="225"/>
      <c r="P12" s="225"/>
      <c r="Q12" s="225"/>
    </row>
    <row r="13" spans="1:17" ht="15.75" thickBot="1" x14ac:dyDescent="0.3">
      <c r="A13" s="262">
        <v>10</v>
      </c>
      <c r="B13" s="263" t="s">
        <v>343</v>
      </c>
      <c r="C13" s="252" t="s">
        <v>344</v>
      </c>
      <c r="D13" s="253">
        <f>3340*0.5</f>
        <v>1670</v>
      </c>
      <c r="E13" s="254">
        <v>22</v>
      </c>
      <c r="F13" s="254">
        <v>22</v>
      </c>
      <c r="G13" s="254">
        <v>3.1</v>
      </c>
      <c r="H13" s="255">
        <v>0.04</v>
      </c>
      <c r="I13" s="256">
        <f t="shared" si="0"/>
        <v>66.8</v>
      </c>
      <c r="J13" s="257"/>
      <c r="K13" s="257"/>
      <c r="L13" s="258">
        <f t="shared" si="1"/>
        <v>66.8</v>
      </c>
      <c r="M13" s="259">
        <f>'[1]АУП и УВП аттестац июль'!L13+'[1]АУП и УВП аттестац август'!L13+'[1]АУП и УВП аттестац сентябрь'!L13+'[1]АУП и УВП аттестац окт'!L13+'[1]АУП и УВП аттестац ноябрь'!L13+'[1]АУП и УВП аттестац декабрь (2)'!L13</f>
        <v>375.35</v>
      </c>
      <c r="N13" s="260">
        <f t="shared" si="2"/>
        <v>66.8</v>
      </c>
      <c r="O13" s="261"/>
      <c r="P13" s="261"/>
      <c r="Q13" s="261"/>
    </row>
    <row r="14" spans="1:17" x14ac:dyDescent="0.25">
      <c r="A14" s="264">
        <v>11</v>
      </c>
      <c r="B14" s="260" t="s">
        <v>345</v>
      </c>
      <c r="C14" s="252" t="s">
        <v>346</v>
      </c>
      <c r="D14" s="253">
        <v>3020</v>
      </c>
      <c r="E14" s="254">
        <v>22</v>
      </c>
      <c r="F14" s="254">
        <v>22</v>
      </c>
      <c r="G14" s="254">
        <v>3.2</v>
      </c>
      <c r="H14" s="255">
        <v>0.04</v>
      </c>
      <c r="I14" s="256">
        <f t="shared" si="0"/>
        <v>120.8</v>
      </c>
      <c r="J14" s="257"/>
      <c r="K14" s="257"/>
      <c r="L14" s="258">
        <f t="shared" si="1"/>
        <v>120.8</v>
      </c>
      <c r="M14" s="259">
        <f>'[1]АУП и УВП аттестац июль'!L14+'[1]АУП и УВП аттестац август'!L14+'[1]АУП и УВП аттестац сентябрь'!L14+'[1]АУП и УВП аттестац окт'!L14+'[1]АУП и УВП аттестац ноябрь'!L14+'[1]АУП и УВП аттестац декабрь (2)'!L14</f>
        <v>628.57000000000005</v>
      </c>
      <c r="N14" s="260">
        <f t="shared" si="2"/>
        <v>120.8</v>
      </c>
      <c r="O14" s="261"/>
      <c r="P14" s="261"/>
      <c r="Q14" s="261"/>
    </row>
    <row r="15" spans="1:17" x14ac:dyDescent="0.25">
      <c r="A15" s="250">
        <v>12</v>
      </c>
      <c r="B15" s="265" t="s">
        <v>347</v>
      </c>
      <c r="C15" s="252" t="s">
        <v>348</v>
      </c>
      <c r="D15" s="253">
        <v>6240</v>
      </c>
      <c r="E15" s="254">
        <v>22</v>
      </c>
      <c r="F15" s="254">
        <v>22</v>
      </c>
      <c r="G15" s="254">
        <v>3.1</v>
      </c>
      <c r="H15" s="255">
        <v>0.04</v>
      </c>
      <c r="I15" s="256">
        <f t="shared" si="0"/>
        <v>249.6</v>
      </c>
      <c r="J15" s="257"/>
      <c r="K15" s="257"/>
      <c r="L15" s="258">
        <f t="shared" si="1"/>
        <v>249.6</v>
      </c>
      <c r="M15" s="259">
        <f>'[1]АУП и УВП аттестац июль'!L15+'[1]АУП и УВП аттестац август'!L15+'[1]АУП и УВП аттестац сентябрь'!L15+'[1]АУП и УВП аттестац окт'!L15+'[1]АУП и УВП аттестац ноябрь'!L15+'[1]АУП и УВП аттестац декабрь (2)'!L15</f>
        <v>1367.37</v>
      </c>
      <c r="N15" s="260">
        <f t="shared" si="2"/>
        <v>249.6</v>
      </c>
      <c r="O15" s="261"/>
      <c r="P15" s="261"/>
      <c r="Q15" s="261"/>
    </row>
    <row r="16" spans="1:17" x14ac:dyDescent="0.25">
      <c r="A16" s="266">
        <v>13</v>
      </c>
      <c r="B16" s="265" t="s">
        <v>349</v>
      </c>
      <c r="C16" s="252" t="s">
        <v>350</v>
      </c>
      <c r="D16" s="253">
        <v>5360</v>
      </c>
      <c r="E16" s="254">
        <v>22</v>
      </c>
      <c r="F16" s="254">
        <v>22</v>
      </c>
      <c r="G16" s="254">
        <v>3.1</v>
      </c>
      <c r="H16" s="255">
        <v>0.04</v>
      </c>
      <c r="I16" s="256">
        <f t="shared" si="0"/>
        <v>214.4</v>
      </c>
      <c r="J16" s="257"/>
      <c r="K16" s="257"/>
      <c r="L16" s="258">
        <f t="shared" si="1"/>
        <v>214.4</v>
      </c>
      <c r="M16" s="259">
        <f>'[1]АУП и УВП аттестац июль'!L16+'[1]АУП и УВП аттестац август'!L16+'[1]АУП и УВП аттестац сентябрь'!L16+'[1]АУП и УВП аттестац окт'!L16+'[1]АУП и УВП аттестац ноябрь'!L16+'[1]АУП и УВП аттестац декабрь (2)'!L16</f>
        <v>1225.1400000000001</v>
      </c>
      <c r="N16" s="260">
        <f t="shared" si="2"/>
        <v>214.4</v>
      </c>
      <c r="O16" s="261"/>
      <c r="P16" s="261"/>
      <c r="Q16" s="261"/>
    </row>
    <row r="17" spans="1:17" x14ac:dyDescent="0.25">
      <c r="A17" s="267">
        <v>14</v>
      </c>
      <c r="B17" s="239" t="s">
        <v>351</v>
      </c>
      <c r="C17" s="240" t="s">
        <v>344</v>
      </c>
      <c r="D17" s="241">
        <v>4040</v>
      </c>
      <c r="E17" s="242">
        <v>22</v>
      </c>
      <c r="F17" s="242">
        <v>22</v>
      </c>
      <c r="G17" s="240">
        <v>3.1</v>
      </c>
      <c r="H17" s="243">
        <v>0.04</v>
      </c>
      <c r="I17" s="244">
        <f t="shared" si="0"/>
        <v>161.6</v>
      </c>
      <c r="J17" s="245"/>
      <c r="K17" s="245"/>
      <c r="L17" s="246">
        <f t="shared" si="1"/>
        <v>161.6</v>
      </c>
      <c r="M17" s="247">
        <f>'[1]АУП и УВП аттестац июль'!L17+'[1]АУП и УВП аттестац август'!L17+'[1]АУП и УВП аттестац сентябрь'!L17+'[1]АУП и УВП аттестац окт'!L17+'[1]АУП и УВП аттестац ноябрь'!L17+'[1]АУП и УВП аттестац декабрь (2)'!L17</f>
        <v>847.81</v>
      </c>
      <c r="N17" s="248">
        <f t="shared" si="2"/>
        <v>161.6</v>
      </c>
      <c r="O17" s="249"/>
      <c r="P17" s="249"/>
      <c r="Q17" s="249"/>
    </row>
    <row r="18" spans="1:17" x14ac:dyDescent="0.25">
      <c r="A18" s="250">
        <v>15</v>
      </c>
      <c r="B18" s="251" t="s">
        <v>352</v>
      </c>
      <c r="C18" s="252" t="s">
        <v>353</v>
      </c>
      <c r="D18" s="253">
        <v>4040</v>
      </c>
      <c r="E18" s="254">
        <v>22</v>
      </c>
      <c r="F18" s="254">
        <v>22</v>
      </c>
      <c r="G18" s="254">
        <v>3.1</v>
      </c>
      <c r="H18" s="255">
        <v>0.04</v>
      </c>
      <c r="I18" s="256">
        <f t="shared" si="0"/>
        <v>161.6</v>
      </c>
      <c r="J18" s="257"/>
      <c r="K18" s="257"/>
      <c r="L18" s="258">
        <f t="shared" si="1"/>
        <v>161.6</v>
      </c>
      <c r="M18" s="259">
        <f>'[1]АУП и УВП аттестац июль'!L18+'[1]АУП и УВП аттестац август'!L18+'[1]АУП и УВП аттестац сентябрь'!L18+'[1]АУП и УВП аттестац окт'!L18+'[1]АУП и УВП аттестац ноябрь'!L18+'[1]АУП и УВП аттестац декабрь (2)'!L18</f>
        <v>723.76</v>
      </c>
      <c r="N18" s="260">
        <f t="shared" si="2"/>
        <v>161.6</v>
      </c>
      <c r="O18" s="261"/>
      <c r="P18" s="261"/>
      <c r="Q18" s="261"/>
    </row>
    <row r="19" spans="1:17" x14ac:dyDescent="0.25">
      <c r="A19" s="238">
        <v>16</v>
      </c>
      <c r="B19" s="268" t="s">
        <v>354</v>
      </c>
      <c r="C19" s="240"/>
      <c r="D19" s="241">
        <v>4440</v>
      </c>
      <c r="E19" s="242">
        <v>22</v>
      </c>
      <c r="F19" s="242">
        <v>22</v>
      </c>
      <c r="G19" s="242">
        <v>3.1</v>
      </c>
      <c r="H19" s="243">
        <v>0.04</v>
      </c>
      <c r="I19" s="244">
        <f t="shared" si="0"/>
        <v>177.6</v>
      </c>
      <c r="J19" s="245"/>
      <c r="K19" s="245"/>
      <c r="L19" s="246">
        <f t="shared" si="1"/>
        <v>177.6</v>
      </c>
      <c r="M19" s="247">
        <f>'[1]АУП и УВП аттестац июль'!L19+'[1]АУП и УВП аттестац август'!L19+'[1]АУП и УВП аттестац сентябрь'!L19+'[1]АУП и УВП аттестац окт'!L19+'[1]АУП и УВП аттестац ноябрь'!L19+'[1]АУП и УВП аттестац декабрь (2)'!L19</f>
        <v>833.23</v>
      </c>
      <c r="N19" s="248">
        <f t="shared" si="2"/>
        <v>177.6</v>
      </c>
      <c r="O19" s="249"/>
      <c r="P19" s="249"/>
      <c r="Q19" s="249"/>
    </row>
    <row r="20" spans="1:17" x14ac:dyDescent="0.25">
      <c r="A20" s="235">
        <v>17</v>
      </c>
      <c r="B20" s="236" t="s">
        <v>355</v>
      </c>
      <c r="C20" s="218" t="s">
        <v>356</v>
      </c>
      <c r="D20" s="219">
        <v>4440</v>
      </c>
      <c r="E20" s="220">
        <v>22</v>
      </c>
      <c r="F20" s="220">
        <v>22</v>
      </c>
      <c r="G20" s="220">
        <v>3.1</v>
      </c>
      <c r="H20" s="231">
        <v>0.04</v>
      </c>
      <c r="I20" s="232">
        <f t="shared" si="0"/>
        <v>177.6</v>
      </c>
      <c r="J20" s="222"/>
      <c r="K20" s="222"/>
      <c r="L20" s="234">
        <f t="shared" si="1"/>
        <v>177.6</v>
      </c>
      <c r="M20" s="224">
        <f>'[1]АУП и УВП аттестац июль'!L20+'[1]АУП и УВП аттестац август'!L20+'[1]АУП и УВП аттестац сентябрь'!L20+'[1]АУП и УВП аттестац окт'!L20+'[1]АУП и УВП аттестац ноябрь'!L20+'[1]АУП и УВП аттестац декабрь (2)'!L20</f>
        <v>877.08</v>
      </c>
      <c r="N20" s="216">
        <f t="shared" si="2"/>
        <v>177.6</v>
      </c>
      <c r="O20" s="225"/>
      <c r="P20" s="225"/>
      <c r="Q20" s="225"/>
    </row>
    <row r="21" spans="1:17" x14ac:dyDescent="0.25">
      <c r="A21" s="250">
        <v>18</v>
      </c>
      <c r="B21" s="251" t="s">
        <v>357</v>
      </c>
      <c r="C21" s="252" t="s">
        <v>358</v>
      </c>
      <c r="D21" s="253">
        <v>4440</v>
      </c>
      <c r="E21" s="254">
        <v>22</v>
      </c>
      <c r="F21" s="254">
        <v>22</v>
      </c>
      <c r="G21" s="254">
        <v>3.1</v>
      </c>
      <c r="H21" s="255">
        <v>0.04</v>
      </c>
      <c r="I21" s="256">
        <f t="shared" si="0"/>
        <v>177.6</v>
      </c>
      <c r="J21" s="257"/>
      <c r="K21" s="257"/>
      <c r="L21" s="258">
        <f t="shared" si="1"/>
        <v>177.6</v>
      </c>
      <c r="M21" s="259">
        <f>'[1]АУП и УВП аттестац июль'!L21+'[1]АУП и УВП аттестац август'!L21+'[1]АУП и УВП аттестац сентябрь'!L21+'[1]АУП и УВП аттестац окт'!L21+'[1]АУП и УВП аттестац ноябрь'!L21+'[1]АУП и УВП аттестац декабрь (2)'!L21</f>
        <v>737.86</v>
      </c>
      <c r="N21" s="260">
        <f t="shared" si="2"/>
        <v>177.6</v>
      </c>
      <c r="O21" s="261"/>
      <c r="P21" s="261"/>
      <c r="Q21" s="261"/>
    </row>
    <row r="22" spans="1:17" x14ac:dyDescent="0.25">
      <c r="A22" s="269">
        <v>19</v>
      </c>
      <c r="B22" s="270" t="s">
        <v>359</v>
      </c>
      <c r="C22" s="271" t="s">
        <v>360</v>
      </c>
      <c r="D22" s="272">
        <v>2720</v>
      </c>
      <c r="E22" s="273">
        <v>22</v>
      </c>
      <c r="F22" s="273">
        <v>22</v>
      </c>
      <c r="G22" s="273">
        <v>3.2</v>
      </c>
      <c r="H22" s="274">
        <v>0.04</v>
      </c>
      <c r="I22" s="275">
        <f t="shared" si="0"/>
        <v>108.8</v>
      </c>
      <c r="J22" s="276"/>
      <c r="K22" s="276"/>
      <c r="L22" s="277">
        <f t="shared" si="1"/>
        <v>108.8</v>
      </c>
      <c r="M22" s="278">
        <f>'[1]АУП и УВП аттестац июль'!L22+'[1]АУП и УВП аттестац август'!L22+'[1]АУП и УВП аттестац сентябрь'!L22+'[1]АУП и УВП аттестац окт'!L22+'[1]АУП и УВП аттестац ноябрь'!L22+'[1]АУП и УВП аттестац декабрь (2)'!L22</f>
        <v>541.98</v>
      </c>
      <c r="N22" s="279">
        <f t="shared" si="2"/>
        <v>108.8</v>
      </c>
      <c r="O22" s="280"/>
      <c r="P22" s="280"/>
      <c r="Q22" s="280"/>
    </row>
    <row r="23" spans="1:17" ht="15.75" thickBot="1" x14ac:dyDescent="0.3">
      <c r="A23" s="235">
        <v>20</v>
      </c>
      <c r="B23" s="236" t="s">
        <v>361</v>
      </c>
      <c r="C23" s="218" t="s">
        <v>362</v>
      </c>
      <c r="D23" s="219">
        <v>5780</v>
      </c>
      <c r="E23" s="220">
        <v>22</v>
      </c>
      <c r="F23" s="220">
        <v>22</v>
      </c>
      <c r="G23" s="220">
        <v>3.1</v>
      </c>
      <c r="H23" s="231">
        <v>0.04</v>
      </c>
      <c r="I23" s="232">
        <f t="shared" si="0"/>
        <v>231.2</v>
      </c>
      <c r="J23" s="222"/>
      <c r="K23" s="222"/>
      <c r="L23" s="234">
        <f t="shared" si="1"/>
        <v>231.2</v>
      </c>
      <c r="M23" s="224">
        <f>'[1]АУП и УВП аттестац июль'!L23+'[1]АУП и УВП аттестац август'!L23+'[1]АУП и УВП аттестац сентябрь'!L23+'[1]АУП и УВП аттестац окт'!L23+'[1]АУП и УВП аттестац ноябрь'!L23+'[1]АУП и УВП аттестац декабрь (2)'!L23</f>
        <v>1336.94</v>
      </c>
      <c r="N23" s="216">
        <f t="shared" si="2"/>
        <v>231.2</v>
      </c>
      <c r="O23" s="225"/>
      <c r="P23" s="225"/>
      <c r="Q23" s="225"/>
    </row>
    <row r="24" spans="1:17" x14ac:dyDescent="0.25">
      <c r="A24" s="237">
        <v>21</v>
      </c>
      <c r="B24" s="227" t="s">
        <v>363</v>
      </c>
      <c r="C24" s="218" t="s">
        <v>364</v>
      </c>
      <c r="D24" s="219">
        <v>3020</v>
      </c>
      <c r="E24" s="220">
        <v>22</v>
      </c>
      <c r="F24" s="220">
        <v>22</v>
      </c>
      <c r="G24" s="220">
        <v>3.1</v>
      </c>
      <c r="H24" s="231">
        <v>0.04</v>
      </c>
      <c r="I24" s="232">
        <f t="shared" si="0"/>
        <v>120.8</v>
      </c>
      <c r="J24" s="222"/>
      <c r="K24" s="222"/>
      <c r="L24" s="234">
        <f t="shared" si="1"/>
        <v>120.8</v>
      </c>
      <c r="M24" s="224">
        <f>'[1]АУП и УВП аттестац июль'!L24+'[1]АУП и УВП аттестац август'!L24+'[1]АУП и УВП аттестац сентябрь'!L24+'[1]АУП и УВП аттестац окт'!L24+'[1]АУП и УВП аттестац ноябрь'!L24+'[1]АУП и УВП аттестац декабрь (2)'!L24</f>
        <v>577.78</v>
      </c>
      <c r="N24" s="216">
        <f t="shared" si="2"/>
        <v>120.8</v>
      </c>
      <c r="O24" s="225"/>
      <c r="P24" s="225"/>
      <c r="Q24" s="225"/>
    </row>
    <row r="25" spans="1:17" x14ac:dyDescent="0.25">
      <c r="A25" s="281">
        <v>22</v>
      </c>
      <c r="B25" s="282" t="s">
        <v>365</v>
      </c>
      <c r="C25" s="283" t="s">
        <v>366</v>
      </c>
      <c r="D25" s="284">
        <v>5360</v>
      </c>
      <c r="E25" s="285">
        <v>22</v>
      </c>
      <c r="F25" s="285">
        <v>22</v>
      </c>
      <c r="G25" s="285">
        <v>3.1</v>
      </c>
      <c r="H25" s="286">
        <v>0.04</v>
      </c>
      <c r="I25" s="287">
        <f t="shared" si="0"/>
        <v>214.4</v>
      </c>
      <c r="J25" s="288"/>
      <c r="K25" s="288"/>
      <c r="L25" s="289">
        <f t="shared" si="1"/>
        <v>214.4</v>
      </c>
      <c r="M25" s="290">
        <f>'[1]АУП и УВП аттестац июль'!L25+'[1]АУП и УВП аттестац август'!L25+'[1]АУП и УВП аттестац сентябрь'!L25+'[1]АУП и УВП аттестац окт'!L25+'[1]АУП и УВП аттестац ноябрь'!L25+'[1]АУП и УВП аттестац декабрь (2)'!L25</f>
        <v>966.11</v>
      </c>
      <c r="N25" s="291">
        <f t="shared" si="2"/>
        <v>214.4</v>
      </c>
      <c r="O25" s="292"/>
      <c r="P25" s="292"/>
      <c r="Q25" s="292"/>
    </row>
    <row r="26" spans="1:17" x14ac:dyDescent="0.25">
      <c r="A26" s="293">
        <v>23</v>
      </c>
      <c r="B26" s="294" t="s">
        <v>367</v>
      </c>
      <c r="C26" s="218" t="s">
        <v>368</v>
      </c>
      <c r="D26" s="219">
        <v>3340</v>
      </c>
      <c r="E26" s="220">
        <v>22</v>
      </c>
      <c r="F26" s="220">
        <v>22</v>
      </c>
      <c r="G26" s="220">
        <v>3.1</v>
      </c>
      <c r="H26" s="231">
        <v>0.04</v>
      </c>
      <c r="I26" s="232">
        <f t="shared" si="0"/>
        <v>133.6</v>
      </c>
      <c r="J26" s="222"/>
      <c r="K26" s="222"/>
      <c r="L26" s="234">
        <f t="shared" si="1"/>
        <v>133.6</v>
      </c>
      <c r="M26" s="224">
        <f>'[1]АУП и УВП аттестац июль'!L26+'[1]АУП и УВП аттестац август'!L26+'[1]АУП и УВП аттестац сентябрь'!L26+'[1]АУП и УВП аттестац окт'!L26+'[1]АУП и УВП аттестац ноябрь'!L26+'[1]АУП и УВП аттестац декабрь (2)'!L26</f>
        <v>639.09</v>
      </c>
      <c r="N26" s="216">
        <f t="shared" si="2"/>
        <v>133.6</v>
      </c>
      <c r="O26" s="225"/>
      <c r="P26" s="225"/>
      <c r="Q26" s="225"/>
    </row>
    <row r="27" spans="1:17" x14ac:dyDescent="0.25">
      <c r="A27" s="235">
        <v>24</v>
      </c>
      <c r="B27" s="236" t="s">
        <v>369</v>
      </c>
      <c r="C27" s="218" t="s">
        <v>370</v>
      </c>
      <c r="D27" s="219">
        <v>4040</v>
      </c>
      <c r="E27" s="220">
        <v>22</v>
      </c>
      <c r="F27" s="220">
        <v>22</v>
      </c>
      <c r="G27" s="220">
        <v>3.2</v>
      </c>
      <c r="H27" s="231">
        <v>0.08</v>
      </c>
      <c r="I27" s="232">
        <f t="shared" si="0"/>
        <v>323.2</v>
      </c>
      <c r="J27" s="222"/>
      <c r="K27" s="222"/>
      <c r="L27" s="234">
        <f t="shared" si="1"/>
        <v>323.2</v>
      </c>
      <c r="M27" s="224">
        <f>'[1]АУП и УВП аттестац июль'!L27+'[1]АУП и УВП аттестац август'!L27+'[1]АУП и УВП аттестац сентябрь'!L27+'[1]АУП и УВП аттестац окт'!L27+'[1]АУП и УВП аттестац ноябрь'!L27+'[1]АУП и УВП аттестац декабрь (2)'!L27</f>
        <v>1852.8</v>
      </c>
      <c r="N27" s="216">
        <f>D27*8%</f>
        <v>323.2</v>
      </c>
      <c r="O27" s="225"/>
      <c r="P27" s="225"/>
      <c r="Q27" s="225"/>
    </row>
    <row r="28" spans="1:17" x14ac:dyDescent="0.25">
      <c r="A28" s="295">
        <v>25</v>
      </c>
      <c r="B28" s="270" t="s">
        <v>371</v>
      </c>
      <c r="C28" s="271" t="s">
        <v>372</v>
      </c>
      <c r="D28" s="272">
        <v>2720</v>
      </c>
      <c r="E28" s="273">
        <v>22</v>
      </c>
      <c r="F28" s="273">
        <v>22</v>
      </c>
      <c r="G28" s="273">
        <v>3.1</v>
      </c>
      <c r="H28" s="274">
        <v>0.04</v>
      </c>
      <c r="I28" s="275">
        <f t="shared" si="0"/>
        <v>108.8</v>
      </c>
      <c r="J28" s="276"/>
      <c r="K28" s="276"/>
      <c r="L28" s="277">
        <f t="shared" si="1"/>
        <v>108.8</v>
      </c>
      <c r="M28" s="278">
        <f>'[1]АУП и УВП аттестац июль'!L28+'[1]АУП и УВП аттестац август'!L28+'[1]АУП и УВП аттестац сентябрь'!L28+'[1]АУП и УВП аттестац окт'!L28+'[1]АУП и УВП аттестац ноябрь'!L28+'[1]АУП и УВП аттестац декабрь (2)'!L28</f>
        <v>548.51</v>
      </c>
      <c r="N28" s="279">
        <f t="shared" si="2"/>
        <v>108.8</v>
      </c>
      <c r="O28" s="280"/>
      <c r="P28" s="280"/>
      <c r="Q28" s="280"/>
    </row>
    <row r="29" spans="1:17" x14ac:dyDescent="0.25">
      <c r="A29" s="269">
        <v>26</v>
      </c>
      <c r="B29" s="270"/>
      <c r="C29" s="271" t="s">
        <v>373</v>
      </c>
      <c r="D29" s="272">
        <v>3020</v>
      </c>
      <c r="E29" s="273">
        <v>22</v>
      </c>
      <c r="F29" s="273">
        <v>22</v>
      </c>
      <c r="G29" s="273">
        <v>3.2</v>
      </c>
      <c r="H29" s="274">
        <v>0.08</v>
      </c>
      <c r="I29" s="275">
        <f t="shared" si="0"/>
        <v>241.6</v>
      </c>
      <c r="J29" s="276"/>
      <c r="K29" s="276"/>
      <c r="L29" s="277">
        <f t="shared" si="1"/>
        <v>241.6</v>
      </c>
      <c r="M29" s="278">
        <f>'[1]АУП и УВП аттестац июль'!L29+'[1]АУП и УВП аттестац август'!L29+'[1]АУП и УВП аттестац сентябрь'!L29+'[1]АУП и УВП аттестац окт'!L29+'[1]АУП и УВП аттестац ноябрь'!L29+'[1]АУП и УВП аттестац декабрь (2)'!L29</f>
        <v>241.6</v>
      </c>
      <c r="N29" s="279">
        <f>D29*8%</f>
        <v>241.6</v>
      </c>
      <c r="O29" s="280"/>
      <c r="P29" s="280"/>
      <c r="Q29" s="280"/>
    </row>
    <row r="30" spans="1:17" x14ac:dyDescent="0.25">
      <c r="A30" s="295">
        <v>27</v>
      </c>
      <c r="B30" s="279"/>
      <c r="C30" s="271" t="s">
        <v>374</v>
      </c>
      <c r="D30" s="272">
        <v>2720</v>
      </c>
      <c r="E30" s="273">
        <v>22</v>
      </c>
      <c r="F30" s="273">
        <v>22</v>
      </c>
      <c r="G30" s="273">
        <v>3.1</v>
      </c>
      <c r="H30" s="274">
        <v>0.08</v>
      </c>
      <c r="I30" s="275">
        <f t="shared" si="0"/>
        <v>217.6</v>
      </c>
      <c r="J30" s="276"/>
      <c r="K30" s="296"/>
      <c r="L30" s="277">
        <f t="shared" si="1"/>
        <v>217.6</v>
      </c>
      <c r="M30" s="278">
        <f>'[1]АУП и УВП аттестац июль'!L30+'[1]АУП и УВП аттестац август'!L30+'[1]АУП и УВП аттестац сентябрь'!L30+'[1]АУП и УВП аттестац окт'!L30+'[1]АУП и УВП аттестац ноябрь'!L30+'[1]АУП и УВП аттестац декабрь (2)'!L30</f>
        <v>217.6</v>
      </c>
      <c r="N30" s="279">
        <f>D30*8%</f>
        <v>217.6</v>
      </c>
      <c r="O30" s="280"/>
      <c r="P30" s="280"/>
      <c r="Q30" s="280"/>
    </row>
    <row r="31" spans="1:17" x14ac:dyDescent="0.25">
      <c r="A31" s="269">
        <v>28</v>
      </c>
      <c r="B31" s="297" t="s">
        <v>375</v>
      </c>
      <c r="C31" s="271" t="s">
        <v>376</v>
      </c>
      <c r="D31" s="272">
        <v>2000</v>
      </c>
      <c r="E31" s="273">
        <v>22</v>
      </c>
      <c r="F31" s="273">
        <v>22</v>
      </c>
      <c r="G31" s="273">
        <v>3.1</v>
      </c>
      <c r="H31" s="274">
        <v>0.04</v>
      </c>
      <c r="I31" s="275">
        <f t="shared" si="0"/>
        <v>80</v>
      </c>
      <c r="J31" s="276"/>
      <c r="K31" s="276"/>
      <c r="L31" s="277">
        <f t="shared" si="1"/>
        <v>80</v>
      </c>
      <c r="M31" s="278">
        <f>'[1]АУП и УВП аттестац июль'!L31+'[1]АУП и УВП аттестац август'!L31+'[1]АУП и УВП аттестац сентябрь'!L31+'[1]АУП и УВП аттестац окт'!L31+'[1]АУП и УВП аттестац ноябрь'!L31+'[1]АУП и УВП аттестац декабрь (2)'!L31</f>
        <v>441.74</v>
      </c>
      <c r="N31" s="279">
        <f t="shared" si="2"/>
        <v>80</v>
      </c>
      <c r="O31" s="280"/>
      <c r="P31" s="280"/>
      <c r="Q31" s="280"/>
    </row>
    <row r="32" spans="1:17" x14ac:dyDescent="0.25">
      <c r="A32" s="269">
        <v>29</v>
      </c>
      <c r="B32" s="297" t="s">
        <v>377</v>
      </c>
      <c r="C32" s="271" t="s">
        <v>376</v>
      </c>
      <c r="D32" s="272">
        <v>2000</v>
      </c>
      <c r="E32" s="273">
        <v>22</v>
      </c>
      <c r="F32" s="273">
        <v>22</v>
      </c>
      <c r="G32" s="273">
        <v>3.1</v>
      </c>
      <c r="H32" s="274">
        <v>0.04</v>
      </c>
      <c r="I32" s="275">
        <f t="shared" si="0"/>
        <v>80</v>
      </c>
      <c r="J32" s="276"/>
      <c r="K32" s="276"/>
      <c r="L32" s="277">
        <f t="shared" si="1"/>
        <v>80</v>
      </c>
      <c r="M32" s="278">
        <f>'[1]АУП и УВП аттестац июль'!L32+'[1]АУП и УВП аттестац август'!L32+'[1]АУП и УВП аттестац сентябрь'!L32+'[1]АУП и УВП аттестац окт'!L32+'[1]АУП и УВП аттестац ноябрь'!L32+'[1]АУП и УВП аттестац декабрь (2)'!L32</f>
        <v>443.12</v>
      </c>
      <c r="N32" s="279">
        <f t="shared" si="2"/>
        <v>80</v>
      </c>
      <c r="O32" s="280"/>
      <c r="P32" s="280"/>
      <c r="Q32" s="280"/>
    </row>
    <row r="33" spans="1:17" ht="26.25" x14ac:dyDescent="0.25">
      <c r="A33" s="269">
        <v>30</v>
      </c>
      <c r="B33" s="298" t="s">
        <v>378</v>
      </c>
      <c r="C33" s="271" t="s">
        <v>376</v>
      </c>
      <c r="D33" s="272">
        <v>2000</v>
      </c>
      <c r="E33" s="273">
        <v>22</v>
      </c>
      <c r="F33" s="273">
        <v>22</v>
      </c>
      <c r="G33" s="273">
        <v>3.1</v>
      </c>
      <c r="H33" s="274">
        <v>0.04</v>
      </c>
      <c r="I33" s="275">
        <f t="shared" si="0"/>
        <v>80</v>
      </c>
      <c r="J33" s="276"/>
      <c r="K33" s="276"/>
      <c r="L33" s="277">
        <f t="shared" si="1"/>
        <v>80</v>
      </c>
      <c r="M33" s="278">
        <f>'[1]АУП и УВП аттестац июль'!L33+'[1]АУП и УВП аттестац август'!L33+'[1]АУП и УВП аттестац сентябрь'!L33+'[1]АУП и УВП аттестац окт'!L33+'[1]АУП и УВП аттестац ноябрь'!L33+'[1]АУП и УВП аттестац декабрь (2)'!L33</f>
        <v>205.71</v>
      </c>
      <c r="N33" s="279">
        <f t="shared" si="2"/>
        <v>80</v>
      </c>
      <c r="O33" s="280"/>
      <c r="P33" s="280"/>
      <c r="Q33" s="280"/>
    </row>
    <row r="34" spans="1:17" x14ac:dyDescent="0.25">
      <c r="A34" s="269">
        <v>31</v>
      </c>
      <c r="B34" s="299" t="s">
        <v>379</v>
      </c>
      <c r="C34" s="271" t="s">
        <v>376</v>
      </c>
      <c r="D34" s="272">
        <v>2000</v>
      </c>
      <c r="E34" s="273">
        <v>22</v>
      </c>
      <c r="F34" s="273">
        <v>22</v>
      </c>
      <c r="G34" s="273">
        <v>3.1</v>
      </c>
      <c r="H34" s="274">
        <v>0.04</v>
      </c>
      <c r="I34" s="275">
        <f t="shared" si="0"/>
        <v>80</v>
      </c>
      <c r="J34" s="276"/>
      <c r="K34" s="276"/>
      <c r="L34" s="277">
        <f t="shared" si="1"/>
        <v>80</v>
      </c>
      <c r="M34" s="278">
        <f>'[1]АУП и УВП аттестац июль'!L34+'[1]АУП и УВП аттестац август'!L34+'[1]АУП и УВП аттестац сентябрь'!L34+'[1]АУП и УВП аттестац окт'!L34+'[1]АУП и УВП аттестац ноябрь'!L34+'[1]АУП и УВП аттестац декабрь (2)'!L34</f>
        <v>400</v>
      </c>
      <c r="N34" s="279">
        <f t="shared" si="2"/>
        <v>80</v>
      </c>
      <c r="O34" s="280"/>
      <c r="P34" s="280"/>
      <c r="Q34" s="280"/>
    </row>
    <row r="35" spans="1:17" x14ac:dyDescent="0.25">
      <c r="A35" s="295">
        <v>32</v>
      </c>
      <c r="B35" s="279" t="s">
        <v>380</v>
      </c>
      <c r="C35" s="271" t="s">
        <v>381</v>
      </c>
      <c r="D35" s="272">
        <v>2220</v>
      </c>
      <c r="E35" s="273">
        <v>22</v>
      </c>
      <c r="F35" s="273">
        <v>22</v>
      </c>
      <c r="G35" s="273">
        <v>3.2</v>
      </c>
      <c r="H35" s="274">
        <v>0.08</v>
      </c>
      <c r="I35" s="275">
        <f t="shared" si="0"/>
        <v>177.6</v>
      </c>
      <c r="J35" s="276"/>
      <c r="K35" s="296"/>
      <c r="L35" s="277">
        <f t="shared" si="1"/>
        <v>177.6</v>
      </c>
      <c r="M35" s="278">
        <f>'[1]АУП и УВП аттестац июль'!L35+'[1]АУП и УВП аттестац август'!L35+'[1]АУП и УВП аттестац сентябрь'!L35+'[1]АУП и УВП аттестац окт'!L35+'[1]АУП и УВП аттестац ноябрь'!L35+'[1]АУП и УВП аттестац декабрь (2)'!L35</f>
        <v>1065.5999999999999</v>
      </c>
      <c r="N35" s="279">
        <f>D35*8%</f>
        <v>177.6</v>
      </c>
      <c r="O35" s="280"/>
      <c r="P35" s="280"/>
      <c r="Q35" s="280"/>
    </row>
    <row r="36" spans="1:17" x14ac:dyDescent="0.25">
      <c r="A36" s="235">
        <v>33</v>
      </c>
      <c r="B36" s="216" t="s">
        <v>382</v>
      </c>
      <c r="C36" s="218" t="s">
        <v>383</v>
      </c>
      <c r="D36" s="219">
        <v>6240</v>
      </c>
      <c r="E36" s="220">
        <v>22</v>
      </c>
      <c r="F36" s="220">
        <v>22</v>
      </c>
      <c r="G36" s="220">
        <v>3.1</v>
      </c>
      <c r="H36" s="231">
        <v>0.04</v>
      </c>
      <c r="I36" s="232">
        <f t="shared" si="0"/>
        <v>249.6</v>
      </c>
      <c r="J36" s="222"/>
      <c r="K36" s="222"/>
      <c r="L36" s="234">
        <f t="shared" si="1"/>
        <v>249.6</v>
      </c>
      <c r="M36" s="224">
        <f>'[1]АУП и УВП аттестац июль'!L36+'[1]АУП и УВП аттестац август'!L36+'[1]АУП и УВП аттестац сентябрь'!L36+'[1]АУП и УВП аттестац окт'!L36+'[1]АУП и УВП аттестац ноябрь'!L36+'[1]АУП и УВП аттестац декабрь (2)'!L36</f>
        <v>1012.15</v>
      </c>
      <c r="N36" s="216">
        <f t="shared" si="2"/>
        <v>249.6</v>
      </c>
      <c r="O36" s="225"/>
      <c r="P36" s="225"/>
      <c r="Q36" s="225"/>
    </row>
    <row r="37" spans="1:17" x14ac:dyDescent="0.25">
      <c r="A37" s="235">
        <v>34</v>
      </c>
      <c r="B37" s="216" t="s">
        <v>384</v>
      </c>
      <c r="C37" s="218" t="s">
        <v>383</v>
      </c>
      <c r="D37" s="219">
        <v>6240</v>
      </c>
      <c r="E37" s="220">
        <v>22</v>
      </c>
      <c r="F37" s="220">
        <v>22</v>
      </c>
      <c r="G37" s="220">
        <v>3.1</v>
      </c>
      <c r="H37" s="231">
        <v>0.04</v>
      </c>
      <c r="I37" s="232">
        <f t="shared" si="0"/>
        <v>249.6</v>
      </c>
      <c r="J37" s="222"/>
      <c r="K37" s="222"/>
      <c r="L37" s="234">
        <f t="shared" si="1"/>
        <v>249.6</v>
      </c>
      <c r="M37" s="224">
        <f>'[1]АУП и УВП аттестац июль'!L37+'[1]АУП и УВП аттестац август'!L37+'[1]АУП и УВП аттестац сентябрь'!L37+'[1]АУП и УВП аттестац окт'!L37+'[1]АУП и УВП аттестац ноябрь'!L37+'[1]АУП и УВП аттестац декабрь (2)'!L37</f>
        <v>1012.15</v>
      </c>
      <c r="N37" s="216">
        <f t="shared" si="2"/>
        <v>249.6</v>
      </c>
      <c r="O37" s="225"/>
      <c r="P37" s="225"/>
      <c r="Q37" s="225"/>
    </row>
    <row r="38" spans="1:17" x14ac:dyDescent="0.25">
      <c r="A38" s="293">
        <v>35</v>
      </c>
      <c r="B38" s="217" t="s">
        <v>385</v>
      </c>
      <c r="C38" s="218" t="s">
        <v>383</v>
      </c>
      <c r="D38" s="219">
        <f>6240*0.5</f>
        <v>3120</v>
      </c>
      <c r="E38" s="220">
        <v>22</v>
      </c>
      <c r="F38" s="220">
        <v>22</v>
      </c>
      <c r="G38" s="220">
        <v>3.1</v>
      </c>
      <c r="H38" s="231">
        <v>0.04</v>
      </c>
      <c r="I38" s="232">
        <f t="shared" si="0"/>
        <v>124.8</v>
      </c>
      <c r="J38" s="222"/>
      <c r="K38" s="222"/>
      <c r="L38" s="234">
        <f t="shared" si="1"/>
        <v>124.8</v>
      </c>
      <c r="M38" s="224">
        <f>'[1]АУП и УВП аттестац июль'!L38+'[1]АУП и УВП аттестац август'!L38+'[1]АУП и УВП аттестац сентябрь'!L38+'[1]АУП и УВП аттестац окт'!L38+'[1]АУП и УВП аттестац ноябрь'!L38+'[1]АУП и УВП аттестац декабрь (2)'!L38</f>
        <v>420.06</v>
      </c>
      <c r="N38" s="216">
        <f t="shared" si="2"/>
        <v>124.8</v>
      </c>
      <c r="O38" s="225"/>
      <c r="P38" s="225"/>
      <c r="Q38" s="225"/>
    </row>
    <row r="39" spans="1:17" x14ac:dyDescent="0.25">
      <c r="A39" s="235">
        <v>37</v>
      </c>
      <c r="B39" s="216" t="s">
        <v>386</v>
      </c>
      <c r="C39" s="218" t="s">
        <v>387</v>
      </c>
      <c r="D39" s="219">
        <v>6240</v>
      </c>
      <c r="E39" s="220">
        <v>22</v>
      </c>
      <c r="F39" s="220">
        <v>22</v>
      </c>
      <c r="G39" s="220">
        <v>3.1</v>
      </c>
      <c r="H39" s="231">
        <v>0.04</v>
      </c>
      <c r="I39" s="232">
        <f t="shared" si="0"/>
        <v>249.6</v>
      </c>
      <c r="J39" s="222"/>
      <c r="K39" s="222"/>
      <c r="L39" s="234">
        <f t="shared" si="1"/>
        <v>249.6</v>
      </c>
      <c r="M39" s="224">
        <f>'[1]АУП и УВП аттестац июль'!L39+'[1]АУП и УВП аттестац август'!L39+'[1]АУП и УВП аттестац сентябрь'!L39+'[1]АУП и УВП аттестац окт'!L39+'[1]АУП и УВП аттестац ноябрь'!L39+'[1]АУП и УВП аттестац декабрь (2)'!L39</f>
        <v>1013.15</v>
      </c>
      <c r="N39" s="216">
        <f t="shared" si="2"/>
        <v>249.6</v>
      </c>
      <c r="O39" s="225"/>
      <c r="P39" s="225"/>
      <c r="Q39" s="225"/>
    </row>
    <row r="40" spans="1:17" x14ac:dyDescent="0.25">
      <c r="A40" s="300">
        <v>38</v>
      </c>
      <c r="B40" s="301" t="s">
        <v>388</v>
      </c>
      <c r="C40" s="302" t="s">
        <v>389</v>
      </c>
      <c r="D40" s="303">
        <v>3020</v>
      </c>
      <c r="E40" s="304">
        <v>22</v>
      </c>
      <c r="F40" s="304">
        <v>22</v>
      </c>
      <c r="G40" s="304">
        <v>3.1</v>
      </c>
      <c r="H40" s="305">
        <v>0.04</v>
      </c>
      <c r="I40" s="306">
        <f t="shared" si="0"/>
        <v>120.8</v>
      </c>
      <c r="J40" s="307"/>
      <c r="K40" s="307"/>
      <c r="L40" s="308">
        <f t="shared" si="1"/>
        <v>120.8</v>
      </c>
      <c r="M40" s="309">
        <f>'[1]АУП и УВП аттестац июль'!L40+'[1]АУП и УВП аттестац август'!L40+'[1]АУП и УВП аттестац сентябрь'!L40+'[1]АУП и УВП аттестац окт'!L40+'[1]АУП и УВП аттестац ноябрь'!L40+'[1]АУП и УВП аттестац декабрь (2)'!L40</f>
        <v>589.69000000000005</v>
      </c>
      <c r="N40" s="301">
        <f t="shared" si="2"/>
        <v>120.8</v>
      </c>
      <c r="O40" s="310"/>
      <c r="P40" s="310"/>
      <c r="Q40" s="310"/>
    </row>
    <row r="41" spans="1:17" ht="15.75" thickBot="1" x14ac:dyDescent="0.3">
      <c r="A41" s="311">
        <v>39</v>
      </c>
      <c r="B41" s="312" t="s">
        <v>390</v>
      </c>
      <c r="C41" s="313" t="s">
        <v>391</v>
      </c>
      <c r="D41" s="314">
        <v>5780</v>
      </c>
      <c r="E41" s="315">
        <v>22</v>
      </c>
      <c r="F41" s="315">
        <v>22</v>
      </c>
      <c r="G41" s="315">
        <v>3.1</v>
      </c>
      <c r="H41" s="316">
        <v>0.04</v>
      </c>
      <c r="I41" s="317">
        <f t="shared" si="0"/>
        <v>231.2</v>
      </c>
      <c r="J41" s="318"/>
      <c r="K41" s="318"/>
      <c r="L41" s="319">
        <f t="shared" si="1"/>
        <v>231.2</v>
      </c>
      <c r="M41" s="320">
        <f>'[1]АУП и УВП аттестац июль'!L41+'[1]АУП и УВП аттестац август'!L41+'[1]АУП и УВП аттестац сентябрь'!L41+'[1]АУП и УВП аттестац окт'!L41+'[1]АУП и УВП аттестац ноябрь'!L41+'[1]АУП и УВП аттестац декабрь (2)'!L41</f>
        <v>902.14</v>
      </c>
      <c r="N41" s="312">
        <f t="shared" si="2"/>
        <v>231.2</v>
      </c>
      <c r="O41" s="321"/>
      <c r="P41" s="321"/>
      <c r="Q41" s="321"/>
    </row>
    <row r="42" spans="1:17" x14ac:dyDescent="0.25">
      <c r="A42" s="322">
        <v>41</v>
      </c>
      <c r="B42" s="323" t="s">
        <v>392</v>
      </c>
      <c r="C42" s="324" t="s">
        <v>393</v>
      </c>
      <c r="D42" s="325">
        <v>5360</v>
      </c>
      <c r="E42" s="326">
        <v>22</v>
      </c>
      <c r="F42" s="326">
        <v>22</v>
      </c>
      <c r="G42" s="326">
        <v>3.1</v>
      </c>
      <c r="H42" s="327">
        <v>0.04</v>
      </c>
      <c r="I42" s="328">
        <f t="shared" si="0"/>
        <v>214.4</v>
      </c>
      <c r="J42" s="329"/>
      <c r="K42" s="329"/>
      <c r="L42" s="330">
        <f t="shared" si="1"/>
        <v>214.4</v>
      </c>
      <c r="M42" s="331">
        <f>'[1]АУП и УВП аттестац июль'!L42+'[1]АУП и УВП аттестац август'!L42+'[1]АУП и УВП аттестац сентябрь'!L42+'[1]АУП и УВП аттестац окт'!L42+'[1]АУП и УВП аттестац ноябрь'!L42+'[1]АУП и УВП аттестац декабрь (2)'!L42</f>
        <v>1052.48</v>
      </c>
      <c r="N42" s="332">
        <f t="shared" si="2"/>
        <v>214.4</v>
      </c>
      <c r="O42" s="333"/>
      <c r="P42" s="333"/>
      <c r="Q42" s="333"/>
    </row>
    <row r="43" spans="1:17" x14ac:dyDescent="0.25">
      <c r="A43" s="334">
        <v>42</v>
      </c>
      <c r="B43" s="332" t="s">
        <v>394</v>
      </c>
      <c r="C43" s="324" t="s">
        <v>395</v>
      </c>
      <c r="D43" s="325">
        <v>6240</v>
      </c>
      <c r="E43" s="326">
        <v>22</v>
      </c>
      <c r="F43" s="326">
        <v>22</v>
      </c>
      <c r="G43" s="326">
        <v>3.1</v>
      </c>
      <c r="H43" s="327">
        <v>0.04</v>
      </c>
      <c r="I43" s="328">
        <f t="shared" si="0"/>
        <v>249.6</v>
      </c>
      <c r="J43" s="329"/>
      <c r="K43" s="329"/>
      <c r="L43" s="330">
        <f t="shared" si="1"/>
        <v>249.6</v>
      </c>
      <c r="M43" s="331">
        <f>'[1]АУП и УВП аттестац июль'!L43+'[1]АУП и УВП аттестац август'!L43+'[1]АУП и УВП аттестац сентябрь'!L43+'[1]АУП и УВП аттестац окт'!L43+'[1]АУП и УВП аттестац ноябрь'!L43+'[1]АУП и УВП аттестац декабрь (2)'!L43</f>
        <v>802.82</v>
      </c>
      <c r="N43" s="332">
        <f t="shared" si="2"/>
        <v>249.6</v>
      </c>
      <c r="O43" s="335"/>
      <c r="P43" s="335"/>
      <c r="Q43" s="335"/>
    </row>
    <row r="44" spans="1:17" x14ac:dyDescent="0.25">
      <c r="A44" s="336">
        <v>43</v>
      </c>
      <c r="B44" s="332" t="s">
        <v>396</v>
      </c>
      <c r="C44" s="324" t="s">
        <v>393</v>
      </c>
      <c r="D44" s="325">
        <v>5360</v>
      </c>
      <c r="E44" s="326">
        <v>22</v>
      </c>
      <c r="F44" s="326">
        <v>22</v>
      </c>
      <c r="G44" s="326">
        <v>3.1</v>
      </c>
      <c r="H44" s="327">
        <v>0.04</v>
      </c>
      <c r="I44" s="328">
        <f t="shared" si="0"/>
        <v>214.4</v>
      </c>
      <c r="J44" s="329"/>
      <c r="K44" s="329"/>
      <c r="L44" s="330">
        <f t="shared" si="1"/>
        <v>214.4</v>
      </c>
      <c r="M44" s="331">
        <f>'[1]АУП и УВП аттестац июль'!L44+'[1]АУП и УВП аттестац август'!L44+'[1]АУП и УВП аттестац сентябрь'!L44+'[1]АУП и УВП аттестац окт'!L44+'[1]АУП и УВП аттестац ноябрь'!L44+'[1]АУП и УВП аттестац декабрь (2)'!L44</f>
        <v>832.6</v>
      </c>
      <c r="N44" s="332">
        <f t="shared" si="2"/>
        <v>214.4</v>
      </c>
      <c r="O44" s="333"/>
      <c r="P44" s="333"/>
      <c r="Q44" s="333"/>
    </row>
    <row r="45" spans="1:17" x14ac:dyDescent="0.25">
      <c r="A45" s="311">
        <v>44</v>
      </c>
      <c r="B45" s="337" t="s">
        <v>397</v>
      </c>
      <c r="C45" s="313" t="s">
        <v>391</v>
      </c>
      <c r="D45" s="314">
        <v>5360</v>
      </c>
      <c r="E45" s="315">
        <v>22</v>
      </c>
      <c r="F45" s="315">
        <v>22</v>
      </c>
      <c r="G45" s="315">
        <v>3.1</v>
      </c>
      <c r="H45" s="316">
        <v>0.04</v>
      </c>
      <c r="I45" s="317">
        <f t="shared" si="0"/>
        <v>214.4</v>
      </c>
      <c r="J45" s="318"/>
      <c r="K45" s="318"/>
      <c r="L45" s="319">
        <f t="shared" si="1"/>
        <v>214.4</v>
      </c>
      <c r="M45" s="320">
        <f>'[1]АУП и УВП аттестац июль'!L45+'[1]АУП и УВП аттестац август'!L45+'[1]АУП и УВП аттестац сентябрь'!L45+'[1]АУП и УВП аттестац окт'!L45+'[1]АУП и УВП аттестац ноябрь'!L45+'[1]АУП и УВП аттестац декабрь (2)'!L45</f>
        <v>793.9</v>
      </c>
      <c r="N45" s="312">
        <f t="shared" si="2"/>
        <v>214.4</v>
      </c>
      <c r="O45" s="321"/>
      <c r="P45" s="321"/>
      <c r="Q45" s="321"/>
    </row>
    <row r="46" spans="1:17" x14ac:dyDescent="0.25">
      <c r="A46" s="338">
        <v>45</v>
      </c>
      <c r="B46" s="339" t="s">
        <v>398</v>
      </c>
      <c r="C46" s="302" t="s">
        <v>399</v>
      </c>
      <c r="D46" s="303">
        <v>3680</v>
      </c>
      <c r="E46" s="304">
        <v>22</v>
      </c>
      <c r="F46" s="304">
        <v>22</v>
      </c>
      <c r="G46" s="304">
        <v>3.1</v>
      </c>
      <c r="H46" s="305">
        <v>0.04</v>
      </c>
      <c r="I46" s="306">
        <f t="shared" si="0"/>
        <v>147.19999999999999</v>
      </c>
      <c r="J46" s="307"/>
      <c r="K46" s="307"/>
      <c r="L46" s="308">
        <f t="shared" si="1"/>
        <v>147.19999999999999</v>
      </c>
      <c r="M46" s="309">
        <f>'[1]АУП и УВП аттестац июль'!L46+'[1]АУП и УВП аттестац август'!L46+'[1]АУП и УВП аттестац сентябрь'!L46+'[1]АУП и УВП аттестац окт'!L46+'[1]АУП и УВП аттестац ноябрь'!L46+'[1]АУП и УВП аттестац декабрь (2)'!L46</f>
        <v>554.39</v>
      </c>
      <c r="N46" s="301">
        <f t="shared" si="2"/>
        <v>147.19999999999999</v>
      </c>
      <c r="O46" s="310"/>
      <c r="P46" s="310"/>
      <c r="Q46" s="310"/>
    </row>
    <row r="47" spans="1:17" x14ac:dyDescent="0.25">
      <c r="A47" s="293">
        <v>46</v>
      </c>
      <c r="B47" s="217" t="s">
        <v>400</v>
      </c>
      <c r="C47" s="218" t="s">
        <v>383</v>
      </c>
      <c r="D47" s="219">
        <v>6240</v>
      </c>
      <c r="E47" s="220">
        <v>22</v>
      </c>
      <c r="F47" s="220">
        <v>22</v>
      </c>
      <c r="G47" s="220">
        <v>3.1</v>
      </c>
      <c r="H47" s="231">
        <v>0.04</v>
      </c>
      <c r="I47" s="232">
        <f t="shared" si="0"/>
        <v>249.6</v>
      </c>
      <c r="J47" s="222"/>
      <c r="K47" s="222"/>
      <c r="L47" s="234">
        <f t="shared" si="1"/>
        <v>249.6</v>
      </c>
      <c r="M47" s="224">
        <f>'[1]АУП и УВП аттестац июль'!L47+'[1]АУП и УВП аттестац август'!L47+'[1]АУП и УВП аттестац сентябрь'!L47+'[1]АУП и УВП аттестац окт'!L47+'[1]АУП и УВП аттестац ноябрь'!L47+'[1]АУП и УВП аттестац декабрь (2)'!L47</f>
        <v>695.75</v>
      </c>
      <c r="N47" s="216">
        <f t="shared" si="2"/>
        <v>249.6</v>
      </c>
      <c r="O47" s="225"/>
      <c r="P47" s="225"/>
      <c r="Q47" s="225"/>
    </row>
    <row r="48" spans="1:17" x14ac:dyDescent="0.25">
      <c r="A48" s="340">
        <v>48</v>
      </c>
      <c r="B48" s="341" t="s">
        <v>401</v>
      </c>
      <c r="C48" s="240" t="s">
        <v>383</v>
      </c>
      <c r="D48" s="241">
        <v>6240</v>
      </c>
      <c r="E48" s="242">
        <v>22</v>
      </c>
      <c r="F48" s="242">
        <v>22</v>
      </c>
      <c r="G48" s="242">
        <v>3.1</v>
      </c>
      <c r="H48" s="243">
        <v>0.04</v>
      </c>
      <c r="I48" s="244">
        <f t="shared" si="0"/>
        <v>249.6</v>
      </c>
      <c r="J48" s="245"/>
      <c r="K48" s="245"/>
      <c r="L48" s="246">
        <f t="shared" si="1"/>
        <v>249.6</v>
      </c>
      <c r="M48" s="247">
        <f>'[1]АУП и УВП аттестац июль'!L48+'[1]АУП и УВП аттестац август'!L48+'[1]АУП и УВП аттестац сентябрь'!L48+'[1]АУП и УВП аттестац окт'!L48+'[1]АУП и УВП аттестац ноябрь'!L48+'[1]АУП и УВП аттестац декабрь (2)'!L48</f>
        <v>1021.17</v>
      </c>
      <c r="N48" s="248">
        <f t="shared" si="2"/>
        <v>249.6</v>
      </c>
      <c r="O48" s="249"/>
      <c r="P48" s="249"/>
      <c r="Q48" s="249"/>
    </row>
    <row r="49" spans="1:17" x14ac:dyDescent="0.25">
      <c r="A49" s="340">
        <v>49</v>
      </c>
      <c r="B49" s="341" t="s">
        <v>402</v>
      </c>
      <c r="C49" s="240" t="s">
        <v>391</v>
      </c>
      <c r="D49" s="241">
        <v>5360</v>
      </c>
      <c r="E49" s="242">
        <v>22</v>
      </c>
      <c r="F49" s="242">
        <v>22</v>
      </c>
      <c r="G49" s="242">
        <v>3.1</v>
      </c>
      <c r="H49" s="243">
        <v>0.04</v>
      </c>
      <c r="I49" s="244">
        <f t="shared" si="0"/>
        <v>214.4</v>
      </c>
      <c r="J49" s="245"/>
      <c r="K49" s="245"/>
      <c r="L49" s="246">
        <f t="shared" si="1"/>
        <v>214.4</v>
      </c>
      <c r="M49" s="247">
        <f>'[1]АУП и УВП аттестац июль'!L49+'[1]АУП и УВП аттестац август'!L49+'[1]АУП и УВП аттестац сентябрь'!L49+'[1]АУП и УВП аттестац окт'!L49+'[1]АУП и УВП аттестац ноябрь'!L49+'[1]АУП и УВП аттестац декабрь (2)'!L49</f>
        <v>1033.5999999999999</v>
      </c>
      <c r="N49" s="248">
        <f t="shared" si="2"/>
        <v>214.4</v>
      </c>
      <c r="O49" s="249"/>
      <c r="P49" s="249"/>
      <c r="Q49" s="249"/>
    </row>
    <row r="50" spans="1:17" x14ac:dyDescent="0.25">
      <c r="A50" s="293">
        <v>50</v>
      </c>
      <c r="B50" s="217" t="s">
        <v>403</v>
      </c>
      <c r="C50" s="218" t="s">
        <v>404</v>
      </c>
      <c r="D50" s="219">
        <v>5780</v>
      </c>
      <c r="E50" s="220">
        <v>22</v>
      </c>
      <c r="F50" s="220">
        <v>22</v>
      </c>
      <c r="G50" s="220">
        <v>3.1</v>
      </c>
      <c r="H50" s="231">
        <v>0.04</v>
      </c>
      <c r="I50" s="232">
        <f t="shared" si="0"/>
        <v>231.2</v>
      </c>
      <c r="J50" s="222"/>
      <c r="K50" s="222"/>
      <c r="L50" s="234">
        <f t="shared" si="1"/>
        <v>231.2</v>
      </c>
      <c r="M50" s="224">
        <f>'[1]АУП и УВП аттестац июль'!L50+'[1]АУП и УВП аттестац август'!L50+'[1]АУП и УВП аттестац сентябрь'!L50+'[1]АУП и УВП аттестац окт'!L50+'[1]АУП и УВП аттестац ноябрь'!L50+'[1]АУП и УВП аттестац декабрь (2)'!L50</f>
        <v>845.94</v>
      </c>
      <c r="N50" s="216">
        <f t="shared" si="2"/>
        <v>231.2</v>
      </c>
      <c r="O50" s="225"/>
      <c r="P50" s="225"/>
      <c r="Q50" s="225"/>
    </row>
    <row r="51" spans="1:17" x14ac:dyDescent="0.25">
      <c r="A51" s="342">
        <v>51</v>
      </c>
      <c r="B51" s="343" t="s">
        <v>405</v>
      </c>
      <c r="C51" s="344" t="s">
        <v>406</v>
      </c>
      <c r="D51" s="345">
        <v>4880</v>
      </c>
      <c r="E51" s="346">
        <v>22</v>
      </c>
      <c r="F51" s="346">
        <v>22</v>
      </c>
      <c r="G51" s="346">
        <v>3.1</v>
      </c>
      <c r="H51" s="347">
        <v>0.04</v>
      </c>
      <c r="I51" s="348">
        <f t="shared" si="0"/>
        <v>195.2</v>
      </c>
      <c r="J51" s="349"/>
      <c r="K51" s="349"/>
      <c r="L51" s="350">
        <f t="shared" si="1"/>
        <v>195.2</v>
      </c>
      <c r="M51" s="351">
        <f>'[1]АУП и УВП аттестац июль'!L51+'[1]АУП и УВП аттестац август'!L51+'[1]АУП и УВП аттестац сентябрь'!L51+'[1]АУП и УВП аттестац окт'!L51+'[1]АУП и УВП аттестац ноябрь'!L51+'[1]АУП и УВП аттестац декабрь (2)'!L51</f>
        <v>794.83</v>
      </c>
      <c r="N51" s="352">
        <f t="shared" si="2"/>
        <v>195.2</v>
      </c>
      <c r="O51" s="353"/>
      <c r="P51" s="353"/>
      <c r="Q51" s="353"/>
    </row>
    <row r="52" spans="1:17" x14ac:dyDescent="0.25">
      <c r="A52" s="354">
        <v>52</v>
      </c>
      <c r="B52" s="343" t="s">
        <v>403</v>
      </c>
      <c r="C52" s="344" t="s">
        <v>406</v>
      </c>
      <c r="D52" s="345">
        <v>5360</v>
      </c>
      <c r="E52" s="346">
        <v>22</v>
      </c>
      <c r="F52" s="346">
        <v>22</v>
      </c>
      <c r="G52" s="346">
        <v>3.1</v>
      </c>
      <c r="H52" s="347">
        <v>0.04</v>
      </c>
      <c r="I52" s="348">
        <f t="shared" si="0"/>
        <v>214.4</v>
      </c>
      <c r="J52" s="349"/>
      <c r="K52" s="349"/>
      <c r="L52" s="350">
        <f t="shared" si="1"/>
        <v>214.4</v>
      </c>
      <c r="M52" s="351">
        <f>'[1]АУП и УВП аттестац июль'!L52+'[1]АУП и УВП аттестац август'!L52+'[1]АУП и УВП аттестац сентябрь'!L52+'[1]АУП и УВП аттестац окт'!L52+'[1]АУП и УВП аттестац ноябрь'!L52+'[1]АУП и УВП аттестац декабрь (2)'!L52</f>
        <v>845.04</v>
      </c>
      <c r="N52" s="352">
        <f t="shared" si="2"/>
        <v>214.4</v>
      </c>
      <c r="O52" s="353"/>
      <c r="P52" s="353"/>
      <c r="Q52" s="353"/>
    </row>
    <row r="53" spans="1:17" x14ac:dyDescent="0.25">
      <c r="A53" s="355"/>
      <c r="B53" s="356" t="s">
        <v>407</v>
      </c>
      <c r="C53" s="357" t="s">
        <v>408</v>
      </c>
      <c r="D53" s="358">
        <f>5780/72*78.4</f>
        <v>6293.78</v>
      </c>
      <c r="E53" s="359">
        <v>22</v>
      </c>
      <c r="F53" s="359">
        <v>22</v>
      </c>
      <c r="G53" s="359">
        <v>3.1</v>
      </c>
      <c r="H53" s="360">
        <v>0.04</v>
      </c>
      <c r="I53" s="361">
        <f t="shared" si="0"/>
        <v>251.75</v>
      </c>
      <c r="J53" s="362"/>
      <c r="K53" s="362"/>
      <c r="L53" s="363">
        <f t="shared" si="1"/>
        <v>251.75</v>
      </c>
      <c r="M53" s="364">
        <f>'[1]АУП и УВП аттестац июль'!L53+'[1]АУП и УВП аттестац август'!L53+'[1]АУП и УВП аттестац сентябрь'!L53+'[1]АУП и УВП аттестац окт'!L53+'[1]АУП и УВП аттестац ноябрь'!L53+'[1]АУП и УВП аттестац декабрь (2)'!L53</f>
        <v>1031.25</v>
      </c>
      <c r="N53" s="365">
        <f t="shared" si="2"/>
        <v>251.75120000000001</v>
      </c>
      <c r="O53" s="366"/>
      <c r="P53" s="366"/>
      <c r="Q53" s="366"/>
    </row>
    <row r="54" spans="1:17" x14ac:dyDescent="0.25">
      <c r="A54" s="367"/>
      <c r="B54" s="356" t="s">
        <v>409</v>
      </c>
      <c r="C54" s="357" t="s">
        <v>408</v>
      </c>
      <c r="D54" s="358">
        <f>5780/72*67.4</f>
        <v>5410.72</v>
      </c>
      <c r="E54" s="359">
        <v>22</v>
      </c>
      <c r="F54" s="359">
        <v>22</v>
      </c>
      <c r="G54" s="359">
        <v>3.1</v>
      </c>
      <c r="H54" s="360">
        <v>0.04</v>
      </c>
      <c r="I54" s="361">
        <f t="shared" si="0"/>
        <v>216.43</v>
      </c>
      <c r="J54" s="362"/>
      <c r="K54" s="362"/>
      <c r="L54" s="363">
        <f t="shared" si="1"/>
        <v>216.43</v>
      </c>
      <c r="M54" s="364">
        <f>'[1]АУП и УВП аттестац июль'!L54+'[1]АУП и УВП аттестац август'!L54+'[1]АУП и УВП аттестац сентябрь'!L54+'[1]АУП и УВП аттестац окт'!L54+'[1]АУП и УВП аттестац ноябрь'!L54+'[1]АУП и УВП аттестац декабрь (2)'!L54</f>
        <v>890.4</v>
      </c>
      <c r="N54" s="365">
        <f t="shared" si="2"/>
        <v>216.4288</v>
      </c>
      <c r="O54" s="366"/>
      <c r="P54" s="366"/>
      <c r="Q54" s="366"/>
    </row>
    <row r="55" spans="1:17" x14ac:dyDescent="0.25">
      <c r="A55" s="367"/>
      <c r="B55" s="356" t="s">
        <v>410</v>
      </c>
      <c r="C55" s="357" t="s">
        <v>408</v>
      </c>
      <c r="D55" s="358">
        <f>5780/72*85.1</f>
        <v>6831.64</v>
      </c>
      <c r="E55" s="359">
        <v>22</v>
      </c>
      <c r="F55" s="359">
        <v>22</v>
      </c>
      <c r="G55" s="359">
        <v>3.1</v>
      </c>
      <c r="H55" s="360">
        <v>0.04</v>
      </c>
      <c r="I55" s="361">
        <f t="shared" si="0"/>
        <v>273.27</v>
      </c>
      <c r="J55" s="362"/>
      <c r="K55" s="362"/>
      <c r="L55" s="363">
        <f t="shared" si="1"/>
        <v>273.27</v>
      </c>
      <c r="M55" s="364">
        <f>'[1]АУП и УВП аттестац июль'!L55+'[1]АУП и УВП аттестац август'!L55+'[1]АУП и УВП аттестац сентябрь'!L55+'[1]АУП и УВП аттестац окт'!L55+'[1]АУП и УВП аттестац ноябрь'!L55+'[1]АУП и УВП аттестац декабрь (2)'!L55</f>
        <v>1112.1300000000001</v>
      </c>
      <c r="N55" s="365">
        <f t="shared" si="2"/>
        <v>273.26560000000001</v>
      </c>
      <c r="O55" s="366"/>
      <c r="P55" s="366"/>
      <c r="Q55" s="366"/>
    </row>
    <row r="56" spans="1:17" x14ac:dyDescent="0.25">
      <c r="A56" s="355"/>
      <c r="B56" s="355" t="s">
        <v>411</v>
      </c>
      <c r="C56" s="357" t="s">
        <v>408</v>
      </c>
      <c r="D56" s="358">
        <f>5780/72*80.4</f>
        <v>6454.33</v>
      </c>
      <c r="E56" s="359">
        <v>22</v>
      </c>
      <c r="F56" s="359">
        <v>22</v>
      </c>
      <c r="G56" s="359">
        <v>3.1</v>
      </c>
      <c r="H56" s="360">
        <v>0.04</v>
      </c>
      <c r="I56" s="361">
        <f t="shared" si="0"/>
        <v>258.17</v>
      </c>
      <c r="J56" s="362"/>
      <c r="K56" s="362"/>
      <c r="L56" s="363">
        <f t="shared" si="1"/>
        <v>258.17</v>
      </c>
      <c r="M56" s="364">
        <f>'[1]АУП и УВП аттестац июль'!L56+'[1]АУП и УВП аттестац август'!L56+'[1]АУП и УВП аттестац сентябрь'!L56+'[1]АУП и УВП аттестац окт'!L56+'[1]АУП и УВП аттестац ноябрь'!L56+'[1]АУП и УВП аттестац декабрь (2)'!L56</f>
        <v>1062</v>
      </c>
      <c r="N56" s="365">
        <f t="shared" si="2"/>
        <v>258.17320000000001</v>
      </c>
      <c r="O56" s="366"/>
      <c r="P56" s="366"/>
      <c r="Q56" s="366"/>
    </row>
    <row r="57" spans="1:17" x14ac:dyDescent="0.25">
      <c r="A57" s="355"/>
      <c r="B57" s="368" t="s">
        <v>412</v>
      </c>
      <c r="C57" s="357" t="s">
        <v>408</v>
      </c>
      <c r="D57" s="358">
        <f>5780/72*68.4</f>
        <v>5491</v>
      </c>
      <c r="E57" s="359">
        <v>22</v>
      </c>
      <c r="F57" s="359">
        <v>22</v>
      </c>
      <c r="G57" s="359">
        <v>3.1</v>
      </c>
      <c r="H57" s="360">
        <v>0.04</v>
      </c>
      <c r="I57" s="361">
        <f t="shared" si="0"/>
        <v>219.64</v>
      </c>
      <c r="J57" s="362"/>
      <c r="K57" s="362"/>
      <c r="L57" s="363">
        <f t="shared" si="1"/>
        <v>219.64</v>
      </c>
      <c r="M57" s="364">
        <f>'[1]АУП и УВП аттестац июль'!L57+'[1]АУП и УВП аттестац август'!L57+'[1]АУП и УВП аттестац сентябрь'!L57+'[1]АУП и УВП аттестац окт'!L57+'[1]АУП и УВП аттестац ноябрь'!L57+'[1]АУП и УВП аттестац декабрь (2)'!L57</f>
        <v>914.88</v>
      </c>
      <c r="N57" s="365">
        <f t="shared" si="2"/>
        <v>219.64</v>
      </c>
      <c r="O57" s="366"/>
      <c r="P57" s="366"/>
      <c r="Q57" s="366"/>
    </row>
    <row r="58" spans="1:17" x14ac:dyDescent="0.25">
      <c r="A58" s="355"/>
      <c r="B58" s="356" t="s">
        <v>413</v>
      </c>
      <c r="C58" s="357" t="s">
        <v>408</v>
      </c>
      <c r="D58" s="358">
        <f>5780/72*68</f>
        <v>5458.89</v>
      </c>
      <c r="E58" s="359">
        <v>22</v>
      </c>
      <c r="F58" s="359">
        <v>22</v>
      </c>
      <c r="G58" s="359">
        <v>3.1</v>
      </c>
      <c r="H58" s="360">
        <v>0.04</v>
      </c>
      <c r="I58" s="361">
        <f t="shared" si="0"/>
        <v>218.36</v>
      </c>
      <c r="J58" s="362"/>
      <c r="K58" s="362"/>
      <c r="L58" s="363">
        <f t="shared" si="1"/>
        <v>218.36</v>
      </c>
      <c r="M58" s="364">
        <f>'[1]АУП и УВП аттестац июль'!L58+'[1]АУП и УВП аттестац август'!L58+'[1]АУП и УВП аттестац сентябрь'!L58+'[1]АУП и УВП аттестац окт'!L58+'[1]АУП и УВП аттестац ноябрь'!L58+'[1]АУП и УВП аттестац декабрь (2)'!L58</f>
        <v>907.81</v>
      </c>
      <c r="N58" s="365">
        <f t="shared" si="2"/>
        <v>218.35560000000001</v>
      </c>
      <c r="O58" s="366"/>
      <c r="P58" s="366"/>
      <c r="Q58" s="366"/>
    </row>
    <row r="59" spans="1:17" x14ac:dyDescent="0.25">
      <c r="A59" s="355"/>
      <c r="B59" s="356" t="s">
        <v>414</v>
      </c>
      <c r="C59" s="357" t="s">
        <v>408</v>
      </c>
      <c r="D59" s="358">
        <f>5780/72*74</f>
        <v>5940.56</v>
      </c>
      <c r="E59" s="359">
        <v>22</v>
      </c>
      <c r="F59" s="359">
        <v>22</v>
      </c>
      <c r="G59" s="359">
        <v>3.1</v>
      </c>
      <c r="H59" s="360">
        <v>0.04</v>
      </c>
      <c r="I59" s="361">
        <f t="shared" si="0"/>
        <v>237.62</v>
      </c>
      <c r="J59" s="362"/>
      <c r="K59" s="362"/>
      <c r="L59" s="363">
        <f t="shared" si="1"/>
        <v>237.62</v>
      </c>
      <c r="M59" s="364">
        <f>'[1]АУП и УВП аттестац июль'!L59+'[1]АУП и УВП аттестац август'!L59+'[1]АУП и УВП аттестац сентябрь'!L59+'[1]АУП и УВП аттестац окт'!L59+'[1]АУП и УВП аттестац ноябрь'!L59+'[1]АУП и УВП аттестац декабрь (2)'!L59</f>
        <v>691.39</v>
      </c>
      <c r="N59" s="365">
        <f t="shared" si="2"/>
        <v>237.6224</v>
      </c>
      <c r="O59" s="366"/>
      <c r="P59" s="366"/>
      <c r="Q59" s="366"/>
    </row>
    <row r="60" spans="1:17" x14ac:dyDescent="0.25">
      <c r="A60" s="355"/>
      <c r="B60" s="356" t="s">
        <v>415</v>
      </c>
      <c r="C60" s="357" t="s">
        <v>408</v>
      </c>
      <c r="D60" s="358">
        <f>5780/72*60.25</f>
        <v>4836.74</v>
      </c>
      <c r="E60" s="359">
        <v>22</v>
      </c>
      <c r="F60" s="359">
        <v>22</v>
      </c>
      <c r="G60" s="359">
        <v>3.1</v>
      </c>
      <c r="H60" s="360">
        <v>0.04</v>
      </c>
      <c r="I60" s="361">
        <f t="shared" si="0"/>
        <v>193.47</v>
      </c>
      <c r="J60" s="362"/>
      <c r="K60" s="362"/>
      <c r="L60" s="363">
        <f t="shared" si="1"/>
        <v>193.47</v>
      </c>
      <c r="M60" s="364">
        <f>'[1]АУП и УВП аттестац июль'!L60+'[1]АУП и УВП аттестац август'!L60+'[1]АУП и УВП аттестац сентябрь'!L60+'[1]АУП и УВП аттестац окт'!L60+'[1]АУП и УВП аттестац ноябрь'!L60+'[1]АУП и УВП аттестац декабрь (2)'!L60</f>
        <v>710.62</v>
      </c>
      <c r="N60" s="365">
        <f t="shared" si="2"/>
        <v>193.46960000000001</v>
      </c>
      <c r="O60" s="366"/>
      <c r="P60" s="366"/>
      <c r="Q60" s="366"/>
    </row>
    <row r="61" spans="1:17" x14ac:dyDescent="0.25">
      <c r="A61" s="367"/>
      <c r="B61" s="356" t="s">
        <v>416</v>
      </c>
      <c r="C61" s="357" t="s">
        <v>408</v>
      </c>
      <c r="D61" s="358">
        <f>5780/72*90</f>
        <v>7225</v>
      </c>
      <c r="E61" s="359">
        <v>22</v>
      </c>
      <c r="F61" s="359">
        <v>22</v>
      </c>
      <c r="G61" s="359">
        <v>3.1</v>
      </c>
      <c r="H61" s="360">
        <v>0.04</v>
      </c>
      <c r="I61" s="361">
        <f t="shared" si="0"/>
        <v>289</v>
      </c>
      <c r="J61" s="362"/>
      <c r="K61" s="362"/>
      <c r="L61" s="363">
        <f t="shared" si="1"/>
        <v>289</v>
      </c>
      <c r="M61" s="364">
        <f>'[1]АУП и УВП аттестац июль'!L61+'[1]АУП и УВП аттестац август'!L61+'[1]АУП и УВП аттестац сентябрь'!L61+'[1]АУП и УВП аттестац окт'!L61+'[1]АУП и УВП аттестац ноябрь'!L61+'[1]АУП и УВП аттестац декабрь (2)'!L61</f>
        <v>1189.29</v>
      </c>
      <c r="N61" s="365">
        <f t="shared" si="2"/>
        <v>289</v>
      </c>
      <c r="O61" s="366"/>
      <c r="P61" s="366"/>
      <c r="Q61" s="366"/>
    </row>
    <row r="62" spans="1:17" x14ac:dyDescent="0.25">
      <c r="A62" s="367"/>
      <c r="B62" s="356" t="s">
        <v>417</v>
      </c>
      <c r="C62" s="357" t="s">
        <v>408</v>
      </c>
      <c r="D62" s="358">
        <f>5780/72*67.87</f>
        <v>5448.45</v>
      </c>
      <c r="E62" s="359">
        <v>22</v>
      </c>
      <c r="F62" s="359">
        <v>22</v>
      </c>
      <c r="G62" s="359">
        <v>3.1</v>
      </c>
      <c r="H62" s="360">
        <v>0.04</v>
      </c>
      <c r="I62" s="361">
        <f t="shared" si="0"/>
        <v>217.94</v>
      </c>
      <c r="J62" s="362"/>
      <c r="K62" s="362"/>
      <c r="L62" s="363">
        <f t="shared" si="1"/>
        <v>217.94</v>
      </c>
      <c r="M62" s="364">
        <f>'[1]АУП и УВП аттестац июль'!L62+'[1]АУП и УВП аттестац август'!L62+'[1]АУП и УВП аттестац сентябрь'!L62+'[1]АУП и УВП аттестац окт'!L62+'[1]АУП и УВП аттестац ноябрь'!L62+'[1]АУП и УВП аттестац декабрь (2)'!L62</f>
        <v>846.12</v>
      </c>
      <c r="N62" s="365">
        <f t="shared" si="2"/>
        <v>217.93799999999999</v>
      </c>
      <c r="O62" s="366"/>
      <c r="P62" s="366"/>
      <c r="Q62" s="366"/>
    </row>
    <row r="63" spans="1:17" x14ac:dyDescent="0.25">
      <c r="A63" s="367"/>
      <c r="B63" s="356" t="s">
        <v>419</v>
      </c>
      <c r="C63" s="357" t="s">
        <v>408</v>
      </c>
      <c r="D63" s="358">
        <f>5780/72*130.3</f>
        <v>10460.19</v>
      </c>
      <c r="E63" s="359">
        <v>22</v>
      </c>
      <c r="F63" s="359">
        <v>22</v>
      </c>
      <c r="G63" s="359">
        <v>3.1</v>
      </c>
      <c r="H63" s="360">
        <v>0.04</v>
      </c>
      <c r="I63" s="361">
        <f t="shared" si="0"/>
        <v>418.41</v>
      </c>
      <c r="J63" s="362"/>
      <c r="K63" s="362"/>
      <c r="L63" s="363">
        <f t="shared" si="1"/>
        <v>418.41</v>
      </c>
      <c r="M63" s="364">
        <f>'[1]АУП и УВП аттестац июль'!L63+'[1]АУП и УВП аттестац август'!L63+'[1]АУП и УВП аттестац сентябрь'!L63+'[1]АУП и УВП аттестац окт'!L63+'[1]АУП и УВП аттестац ноябрь'!L63+'[1]АУП и УВП аттестац декабрь (2)'!L63</f>
        <v>1700.17</v>
      </c>
      <c r="N63" s="365">
        <f t="shared" si="2"/>
        <v>418.4076</v>
      </c>
      <c r="O63" s="366"/>
      <c r="P63" s="366"/>
      <c r="Q63" s="366"/>
    </row>
    <row r="64" spans="1:17" x14ac:dyDescent="0.25">
      <c r="A64" s="367"/>
      <c r="B64" s="356" t="s">
        <v>420</v>
      </c>
      <c r="C64" s="357" t="s">
        <v>408</v>
      </c>
      <c r="D64" s="358">
        <f>5780/72*106</f>
        <v>8509.44</v>
      </c>
      <c r="E64" s="359">
        <v>22</v>
      </c>
      <c r="F64" s="359">
        <v>22</v>
      </c>
      <c r="G64" s="359">
        <v>3.1</v>
      </c>
      <c r="H64" s="360">
        <v>0.04</v>
      </c>
      <c r="I64" s="361">
        <f t="shared" si="0"/>
        <v>340.38</v>
      </c>
      <c r="J64" s="362"/>
      <c r="K64" s="362"/>
      <c r="L64" s="363">
        <f t="shared" si="1"/>
        <v>340.38</v>
      </c>
      <c r="M64" s="364">
        <f>'[1]АУП и УВП аттестац июль'!L64+'[1]АУП и УВП аттестац август'!L64+'[1]АУП и УВП аттестац сентябрь'!L64+'[1]АУП и УВП аттестац окт'!L64+'[1]АУП и УВП аттестац ноябрь'!L64+'[1]АУП и УВП аттестац декабрь (2)'!L64</f>
        <v>923.89</v>
      </c>
      <c r="N64" s="365">
        <f t="shared" si="2"/>
        <v>340.37759999999997</v>
      </c>
      <c r="O64" s="366"/>
      <c r="P64" s="366"/>
      <c r="Q64" s="366"/>
    </row>
    <row r="65" spans="1:17" x14ac:dyDescent="0.25">
      <c r="A65" s="367"/>
      <c r="B65" s="356" t="s">
        <v>421</v>
      </c>
      <c r="C65" s="357" t="s">
        <v>408</v>
      </c>
      <c r="D65" s="358">
        <f>5780/72*137.2</f>
        <v>11014.11</v>
      </c>
      <c r="E65" s="359">
        <v>22</v>
      </c>
      <c r="F65" s="359">
        <v>22</v>
      </c>
      <c r="G65" s="359">
        <v>3.1</v>
      </c>
      <c r="H65" s="360">
        <v>0.04</v>
      </c>
      <c r="I65" s="361">
        <f t="shared" si="0"/>
        <v>440.56</v>
      </c>
      <c r="J65" s="362"/>
      <c r="K65" s="362"/>
      <c r="L65" s="363">
        <f t="shared" si="1"/>
        <v>440.56</v>
      </c>
      <c r="M65" s="364">
        <f>'[1]АУП и УВП аттестац июль'!L65+'[1]АУП и УВП аттестац август'!L65+'[1]АУП и УВП аттестац сентябрь'!L65+'[1]АУП и УВП аттестац окт'!L65+'[1]АУП и УВП аттестац ноябрь'!L65+'[1]АУП и УВП аттестац декабрь (2)'!L65</f>
        <v>1777.74</v>
      </c>
      <c r="N65" s="365">
        <f t="shared" si="2"/>
        <v>440.56439999999998</v>
      </c>
      <c r="O65" s="366"/>
      <c r="P65" s="366"/>
      <c r="Q65" s="366"/>
    </row>
    <row r="66" spans="1:17" x14ac:dyDescent="0.25">
      <c r="A66" s="355"/>
      <c r="B66" s="356" t="s">
        <v>422</v>
      </c>
      <c r="C66" s="357" t="s">
        <v>408</v>
      </c>
      <c r="D66" s="358">
        <f>5360/72*73.12</f>
        <v>5443.38</v>
      </c>
      <c r="E66" s="359">
        <v>22</v>
      </c>
      <c r="F66" s="359">
        <v>22</v>
      </c>
      <c r="G66" s="359">
        <v>3.1</v>
      </c>
      <c r="H66" s="360">
        <v>0.04</v>
      </c>
      <c r="I66" s="361">
        <f t="shared" si="0"/>
        <v>217.74</v>
      </c>
      <c r="J66" s="362"/>
      <c r="K66" s="362"/>
      <c r="L66" s="363">
        <f t="shared" si="1"/>
        <v>217.74</v>
      </c>
      <c r="M66" s="364">
        <f>'[1]АУП и УВП аттестац июль'!L66+'[1]АУП и УВП аттестац август'!L66+'[1]АУП и УВП аттестац сентябрь'!L66+'[1]АУП и УВП аттестац окт'!L66+'[1]АУП и УВП аттестац ноябрь'!L66+'[1]АУП и УВП аттестац декабрь (2)'!L66</f>
        <v>887.8</v>
      </c>
      <c r="N66" s="365">
        <f t="shared" si="2"/>
        <v>217.73519999999999</v>
      </c>
      <c r="O66" s="369"/>
      <c r="P66" s="369"/>
      <c r="Q66" s="369"/>
    </row>
    <row r="67" spans="1:17" x14ac:dyDescent="0.25">
      <c r="A67" s="370"/>
      <c r="B67" s="356" t="s">
        <v>423</v>
      </c>
      <c r="C67" s="357" t="s">
        <v>408</v>
      </c>
      <c r="D67" s="358">
        <f>5360/72*96.2</f>
        <v>7161.56</v>
      </c>
      <c r="E67" s="359">
        <v>22</v>
      </c>
      <c r="F67" s="359">
        <v>22</v>
      </c>
      <c r="G67" s="359">
        <v>3.1</v>
      </c>
      <c r="H67" s="360">
        <v>0.04</v>
      </c>
      <c r="I67" s="361">
        <f t="shared" si="0"/>
        <v>286.45999999999998</v>
      </c>
      <c r="J67" s="362"/>
      <c r="K67" s="362"/>
      <c r="L67" s="363">
        <f t="shared" si="1"/>
        <v>286.45999999999998</v>
      </c>
      <c r="M67" s="364">
        <f>'[1]АУП и УВП аттестац июль'!L67+'[1]АУП и УВП аттестац август'!L67+'[1]АУП и УВП аттестац сентябрь'!L67+'[1]АУП и УВП аттестац окт'!L67+'[1]АУП и УВП аттестац ноябрь'!L67+'[1]АУП и УВП аттестац декабрь (2)'!L67</f>
        <v>1179.8599999999999</v>
      </c>
      <c r="N67" s="365">
        <f t="shared" si="2"/>
        <v>286.4624</v>
      </c>
      <c r="O67" s="366"/>
      <c r="P67" s="366"/>
      <c r="Q67" s="366"/>
    </row>
    <row r="68" spans="1:17" x14ac:dyDescent="0.25">
      <c r="A68" s="368"/>
      <c r="B68" s="355" t="s">
        <v>424</v>
      </c>
      <c r="C68" s="357" t="s">
        <v>408</v>
      </c>
      <c r="D68" s="358">
        <f>5780/72*33.9</f>
        <v>2721.42</v>
      </c>
      <c r="E68" s="359">
        <v>22</v>
      </c>
      <c r="F68" s="359">
        <v>22</v>
      </c>
      <c r="G68" s="359">
        <v>3.1</v>
      </c>
      <c r="H68" s="360">
        <v>0.04</v>
      </c>
      <c r="I68" s="361">
        <f t="shared" ref="I68:I107" si="3">D68*H68/F68*E68</f>
        <v>108.86</v>
      </c>
      <c r="J68" s="362"/>
      <c r="K68" s="362"/>
      <c r="L68" s="363">
        <f t="shared" ref="L68:L107" si="4">I68</f>
        <v>108.86</v>
      </c>
      <c r="M68" s="364">
        <f>'[1]АУП и УВП аттестац июль'!L68+'[1]АУП и УВП аттестац август'!L68+'[1]АУП и УВП аттестац сентябрь'!L68+'[1]АУП и УВП аттестац окт'!L68+'[1]АУП и УВП аттестац ноябрь'!L68+'[1]АУП и УВП аттестац декабрь (2)'!L68</f>
        <v>448.5</v>
      </c>
      <c r="N68" s="365">
        <f t="shared" si="2"/>
        <v>108.85680000000001</v>
      </c>
      <c r="O68" s="366"/>
      <c r="P68" s="366"/>
      <c r="Q68" s="366"/>
    </row>
    <row r="69" spans="1:17" x14ac:dyDescent="0.25">
      <c r="A69" s="368"/>
      <c r="B69" s="356" t="s">
        <v>425</v>
      </c>
      <c r="C69" s="357" t="s">
        <v>408</v>
      </c>
      <c r="D69" s="358">
        <f>5780/72*115.6</f>
        <v>9280.11</v>
      </c>
      <c r="E69" s="359">
        <v>22</v>
      </c>
      <c r="F69" s="359">
        <v>22</v>
      </c>
      <c r="G69" s="359">
        <v>3.1</v>
      </c>
      <c r="H69" s="360">
        <v>0.04</v>
      </c>
      <c r="I69" s="361">
        <f t="shared" si="3"/>
        <v>371.2</v>
      </c>
      <c r="J69" s="362"/>
      <c r="K69" s="362"/>
      <c r="L69" s="363">
        <f t="shared" si="4"/>
        <v>371.2</v>
      </c>
      <c r="M69" s="364">
        <f>'[1]АУП и УВП аттестац июль'!L69+'[1]АУП и УВП аттестац август'!L69+'[1]АУП и УВП аттестац сентябрь'!L69+'[1]АУП и УВП аттестац окт'!L69+'[1]АУП и УВП аттестац ноябрь'!L69+'[1]АУП и УВП аттестац декабрь (2)'!L69</f>
        <v>1508.52</v>
      </c>
      <c r="N69" s="365">
        <f t="shared" ref="N69:N107" si="5">D69*4%</f>
        <v>371.20440000000002</v>
      </c>
      <c r="O69" s="366"/>
      <c r="P69" s="366"/>
      <c r="Q69" s="366"/>
    </row>
    <row r="70" spans="1:17" x14ac:dyDescent="0.25">
      <c r="A70" s="371"/>
      <c r="B70" s="356" t="s">
        <v>426</v>
      </c>
      <c r="C70" s="357" t="s">
        <v>408</v>
      </c>
      <c r="D70" s="358">
        <f>5780/72*91</f>
        <v>7305.28</v>
      </c>
      <c r="E70" s="359">
        <v>22</v>
      </c>
      <c r="F70" s="359">
        <v>22</v>
      </c>
      <c r="G70" s="359">
        <v>3.1</v>
      </c>
      <c r="H70" s="360">
        <v>0.04</v>
      </c>
      <c r="I70" s="361">
        <f t="shared" si="3"/>
        <v>292.20999999999998</v>
      </c>
      <c r="J70" s="362"/>
      <c r="K70" s="362"/>
      <c r="L70" s="363">
        <f t="shared" si="4"/>
        <v>292.20999999999998</v>
      </c>
      <c r="M70" s="364">
        <f>'[1]АУП и УВП аттестац июль'!L70+'[1]АУП и УВП аттестац август'!L70+'[1]АУП и УВП аттестац сентябрь'!L70+'[1]АУП и УВП аттестац окт'!L70+'[1]АУП и УВП аттестац ноябрь'!L70+'[1]АУП и УВП аттестац декабрь (2)'!L70</f>
        <v>750.78</v>
      </c>
      <c r="N70" s="365">
        <f t="shared" si="5"/>
        <v>292.21120000000002</v>
      </c>
      <c r="O70" s="366"/>
      <c r="P70" s="366"/>
      <c r="Q70" s="366"/>
    </row>
    <row r="71" spans="1:17" x14ac:dyDescent="0.25">
      <c r="A71" s="367"/>
      <c r="B71" s="356" t="s">
        <v>427</v>
      </c>
      <c r="C71" s="357" t="s">
        <v>408</v>
      </c>
      <c r="D71" s="358">
        <f>5780/72*41.66</f>
        <v>3344.37</v>
      </c>
      <c r="E71" s="359">
        <v>22</v>
      </c>
      <c r="F71" s="359">
        <v>22</v>
      </c>
      <c r="G71" s="359">
        <v>3.1</v>
      </c>
      <c r="H71" s="360">
        <v>0.04</v>
      </c>
      <c r="I71" s="361">
        <f t="shared" si="3"/>
        <v>133.77000000000001</v>
      </c>
      <c r="J71" s="362"/>
      <c r="K71" s="362"/>
      <c r="L71" s="363">
        <f t="shared" si="4"/>
        <v>133.77000000000001</v>
      </c>
      <c r="M71" s="364">
        <f>'[1]АУП и УВП аттестац июль'!L71+'[1]АУП и УВП аттестац август'!L71+'[1]АУП и УВП аттестац сентябрь'!L71+'[1]АУП и УВП аттестац окт'!L71+'[1]АУП и УВП аттестац ноябрь'!L71+'[1]АУП и УВП аттестац декабрь (2)'!L71</f>
        <v>441.24</v>
      </c>
      <c r="N71" s="365">
        <f t="shared" si="5"/>
        <v>133.7748</v>
      </c>
      <c r="O71" s="366"/>
      <c r="P71" s="366"/>
      <c r="Q71" s="366"/>
    </row>
    <row r="72" spans="1:17" x14ac:dyDescent="0.25">
      <c r="A72" s="367"/>
      <c r="B72" s="356" t="s">
        <v>429</v>
      </c>
      <c r="C72" s="357" t="s">
        <v>408</v>
      </c>
      <c r="D72" s="358">
        <f>5780/72*110.85</f>
        <v>8898.7900000000009</v>
      </c>
      <c r="E72" s="359">
        <v>22</v>
      </c>
      <c r="F72" s="359">
        <v>22</v>
      </c>
      <c r="G72" s="359">
        <v>3.1</v>
      </c>
      <c r="H72" s="360">
        <v>0.04</v>
      </c>
      <c r="I72" s="361">
        <f t="shared" si="3"/>
        <v>355.95</v>
      </c>
      <c r="J72" s="362"/>
      <c r="K72" s="362"/>
      <c r="L72" s="363">
        <f t="shared" si="4"/>
        <v>355.95</v>
      </c>
      <c r="M72" s="364">
        <f>'[1]АУП и УВП аттестац июль'!L72+'[1]АУП и УВП аттестац август'!L72+'[1]АУП и УВП аттестац сентябрь'!L72+'[1]АУП и УВП аттестац окт'!L72+'[1]АУП и УВП аттестац ноябрь'!L72+'[1]АУП и УВП аттестац декабрь (2)'!L72</f>
        <v>1257.99</v>
      </c>
      <c r="N72" s="365">
        <f t="shared" si="5"/>
        <v>355.95159999999998</v>
      </c>
      <c r="O72" s="366"/>
      <c r="P72" s="366"/>
      <c r="Q72" s="366"/>
    </row>
    <row r="73" spans="1:17" x14ac:dyDescent="0.25">
      <c r="A73" s="367"/>
      <c r="B73" s="356" t="s">
        <v>430</v>
      </c>
      <c r="C73" s="357" t="s">
        <v>408</v>
      </c>
      <c r="D73" s="358">
        <f>5780/72*32.1</f>
        <v>2576.92</v>
      </c>
      <c r="E73" s="359">
        <v>22</v>
      </c>
      <c r="F73" s="359">
        <v>22</v>
      </c>
      <c r="G73" s="359">
        <v>3.1</v>
      </c>
      <c r="H73" s="360">
        <v>0.04</v>
      </c>
      <c r="I73" s="361">
        <f t="shared" si="3"/>
        <v>103.08</v>
      </c>
      <c r="J73" s="362"/>
      <c r="K73" s="362"/>
      <c r="L73" s="363">
        <f t="shared" si="4"/>
        <v>103.08</v>
      </c>
      <c r="M73" s="364">
        <f>'[1]АУП и УВП аттестац июль'!L73+'[1]АУП и УВП аттестац август'!L73+'[1]АУП и УВП аттестац сентябрь'!L73+'[1]АУП и УВП аттестац окт'!L73+'[1]АУП и УВП аттестац ноябрь'!L73+'[1]АУП и УВП аттестац декабрь (2)'!L73</f>
        <v>404.83</v>
      </c>
      <c r="N73" s="365">
        <f t="shared" si="5"/>
        <v>103.07680000000001</v>
      </c>
      <c r="O73" s="366"/>
      <c r="P73" s="366"/>
      <c r="Q73" s="366"/>
    </row>
    <row r="74" spans="1:17" x14ac:dyDescent="0.25">
      <c r="A74" s="367"/>
      <c r="B74" s="356" t="s">
        <v>431</v>
      </c>
      <c r="C74" s="357" t="s">
        <v>408</v>
      </c>
      <c r="D74" s="358">
        <f>5780/72*46.11</f>
        <v>3701.61</v>
      </c>
      <c r="E74" s="359">
        <v>22</v>
      </c>
      <c r="F74" s="359">
        <v>22</v>
      </c>
      <c r="G74" s="359">
        <v>3.1</v>
      </c>
      <c r="H74" s="360">
        <v>0.04</v>
      </c>
      <c r="I74" s="361">
        <f t="shared" si="3"/>
        <v>148.06</v>
      </c>
      <c r="J74" s="362"/>
      <c r="K74" s="362"/>
      <c r="L74" s="363">
        <f t="shared" si="4"/>
        <v>148.06</v>
      </c>
      <c r="M74" s="364">
        <f>'[1]АУП и УВП аттестац июль'!L74+'[1]АУП и УВП аттестац август'!L74+'[1]АУП и УВП аттестац сентябрь'!L74+'[1]АУП и УВП аттестац окт'!L74+'[1]АУП и УВП аттестац ноябрь'!L74+'[1]АУП и УВП аттестац декабрь (2)'!L74</f>
        <v>598.23</v>
      </c>
      <c r="N74" s="365">
        <f t="shared" si="5"/>
        <v>148.06440000000001</v>
      </c>
      <c r="O74" s="366"/>
      <c r="P74" s="366"/>
      <c r="Q74" s="366"/>
    </row>
    <row r="75" spans="1:17" x14ac:dyDescent="0.25">
      <c r="A75" s="367"/>
      <c r="B75" s="356" t="s">
        <v>432</v>
      </c>
      <c r="C75" s="357" t="s">
        <v>408</v>
      </c>
      <c r="D75" s="358">
        <f>5780/72*123.4</f>
        <v>9906.2800000000007</v>
      </c>
      <c r="E75" s="359">
        <v>22</v>
      </c>
      <c r="F75" s="359">
        <v>22</v>
      </c>
      <c r="G75" s="359">
        <v>3.1</v>
      </c>
      <c r="H75" s="360">
        <v>0.04</v>
      </c>
      <c r="I75" s="361">
        <f t="shared" si="3"/>
        <v>396.25</v>
      </c>
      <c r="J75" s="362"/>
      <c r="K75" s="362"/>
      <c r="L75" s="363">
        <f t="shared" si="4"/>
        <v>396.25</v>
      </c>
      <c r="M75" s="364">
        <f>'[1]АУП и УВП аттестац июль'!L75+'[1]АУП и УВП аттестац август'!L75+'[1]АУП и УВП аттестац сентябрь'!L75+'[1]АУП и УВП аттестац окт'!L75+'[1]АУП и УВП аттестац ноябрь'!L75+'[1]АУП и УВП аттестац декабрь (2)'!L75</f>
        <v>1609.34</v>
      </c>
      <c r="N75" s="365">
        <f t="shared" si="5"/>
        <v>396.25119999999998</v>
      </c>
      <c r="O75" s="366"/>
      <c r="P75" s="366"/>
      <c r="Q75" s="366"/>
    </row>
    <row r="76" spans="1:17" x14ac:dyDescent="0.25">
      <c r="A76" s="367"/>
      <c r="B76" s="356" t="s">
        <v>433</v>
      </c>
      <c r="C76" s="357" t="s">
        <v>408</v>
      </c>
      <c r="D76" s="358">
        <f>5780/72*96</f>
        <v>7706.67</v>
      </c>
      <c r="E76" s="359">
        <v>22</v>
      </c>
      <c r="F76" s="359">
        <v>22</v>
      </c>
      <c r="G76" s="359">
        <v>3.1</v>
      </c>
      <c r="H76" s="360">
        <v>0.04</v>
      </c>
      <c r="I76" s="361">
        <f t="shared" si="3"/>
        <v>308.27</v>
      </c>
      <c r="J76" s="362"/>
      <c r="K76" s="362"/>
      <c r="L76" s="363">
        <f t="shared" si="4"/>
        <v>308.27</v>
      </c>
      <c r="M76" s="364">
        <f>'[1]АУП и УВП аттестац июль'!L76+'[1]АУП и УВП аттестац август'!L76+'[1]АУП и УВП аттестац сентябрь'!L76+'[1]АУП и УВП аттестац окт'!L76+'[1]АУП и УВП аттестац ноябрь'!L76+'[1]АУП и УВП аттестац декабрь (2)'!L76</f>
        <v>1206.33</v>
      </c>
      <c r="N76" s="365">
        <f t="shared" si="5"/>
        <v>308.26679999999999</v>
      </c>
      <c r="O76" s="366"/>
      <c r="P76" s="366"/>
      <c r="Q76" s="366"/>
    </row>
    <row r="77" spans="1:17" x14ac:dyDescent="0.25">
      <c r="A77" s="367"/>
      <c r="B77" s="356" t="s">
        <v>434</v>
      </c>
      <c r="C77" s="357" t="s">
        <v>408</v>
      </c>
      <c r="D77" s="358">
        <f>5780/72*103.9</f>
        <v>8340.86</v>
      </c>
      <c r="E77" s="359">
        <v>22</v>
      </c>
      <c r="F77" s="359">
        <v>22</v>
      </c>
      <c r="G77" s="359">
        <v>3.1</v>
      </c>
      <c r="H77" s="360">
        <v>0.04</v>
      </c>
      <c r="I77" s="361">
        <f t="shared" si="3"/>
        <v>333.63</v>
      </c>
      <c r="J77" s="362"/>
      <c r="K77" s="362"/>
      <c r="L77" s="363">
        <f t="shared" si="4"/>
        <v>333.63</v>
      </c>
      <c r="M77" s="364">
        <f>'[1]АУП и УВП аттестац июль'!L77+'[1]АУП и УВП аттестац август'!L77+'[1]АУП и УВП аттестац сентябрь'!L77+'[1]АУП и УВП аттестац окт'!L77+'[1]АУП и УВП аттестац ноябрь'!L77+'[1]АУП и УВП аттестац декабрь (2)'!L77</f>
        <v>1332.65</v>
      </c>
      <c r="N77" s="365">
        <f t="shared" si="5"/>
        <v>333.63440000000003</v>
      </c>
      <c r="O77" s="366"/>
      <c r="P77" s="366"/>
      <c r="Q77" s="366"/>
    </row>
    <row r="78" spans="1:17" x14ac:dyDescent="0.25">
      <c r="A78" s="367"/>
      <c r="B78" s="356" t="s">
        <v>435</v>
      </c>
      <c r="C78" s="357" t="s">
        <v>408</v>
      </c>
      <c r="D78" s="358">
        <f>5780/72*103.11</f>
        <v>8277.44</v>
      </c>
      <c r="E78" s="359">
        <v>22</v>
      </c>
      <c r="F78" s="359">
        <v>22</v>
      </c>
      <c r="G78" s="359">
        <v>3.1</v>
      </c>
      <c r="H78" s="360">
        <v>0.04</v>
      </c>
      <c r="I78" s="361">
        <f t="shared" si="3"/>
        <v>331.1</v>
      </c>
      <c r="J78" s="362"/>
      <c r="K78" s="362"/>
      <c r="L78" s="363">
        <f t="shared" si="4"/>
        <v>331.1</v>
      </c>
      <c r="M78" s="364">
        <f>'[1]АУП и УВП аттестац июль'!L78+'[1]АУП и УВП аттестац август'!L78+'[1]АУП и УВП аттестац сентябрь'!L78+'[1]АУП и УВП аттестац окт'!L78+'[1]АУП и УВП аттестац ноябрь'!L78+'[1]АУП и УВП аттестац декабрь (2)'!L78</f>
        <v>1213.6099999999999</v>
      </c>
      <c r="N78" s="365">
        <f t="shared" si="5"/>
        <v>331.0976</v>
      </c>
      <c r="O78" s="366"/>
      <c r="P78" s="366"/>
      <c r="Q78" s="366"/>
    </row>
    <row r="79" spans="1:17" x14ac:dyDescent="0.25">
      <c r="A79" s="367"/>
      <c r="B79" s="355" t="s">
        <v>436</v>
      </c>
      <c r="C79" s="357" t="s">
        <v>408</v>
      </c>
      <c r="D79" s="358">
        <f>5780/72*85</f>
        <v>6823.61</v>
      </c>
      <c r="E79" s="359">
        <v>22</v>
      </c>
      <c r="F79" s="359">
        <v>22</v>
      </c>
      <c r="G79" s="359">
        <v>3.1</v>
      </c>
      <c r="H79" s="360">
        <v>0.04</v>
      </c>
      <c r="I79" s="361">
        <f t="shared" si="3"/>
        <v>272.94</v>
      </c>
      <c r="J79" s="362"/>
      <c r="K79" s="362"/>
      <c r="L79" s="363">
        <f t="shared" si="4"/>
        <v>272.94</v>
      </c>
      <c r="M79" s="364">
        <f>'[1]АУП и УВП аттестац июль'!L79+'[1]АУП и УВП аттестац август'!L79+'[1]АУП и УВП аттестац сентябрь'!L79+'[1]АУП и УВП аттестац окт'!L79+'[1]АУП и УВП аттестац ноябрь'!L79+'[1]АУП и УВП аттестац декабрь (2)'!L79</f>
        <v>1127.8699999999999</v>
      </c>
      <c r="N79" s="365">
        <f t="shared" si="5"/>
        <v>272.94439999999997</v>
      </c>
      <c r="O79" s="366"/>
      <c r="P79" s="366"/>
      <c r="Q79" s="366"/>
    </row>
    <row r="80" spans="1:17" x14ac:dyDescent="0.25">
      <c r="A80" s="367"/>
      <c r="B80" s="372" t="s">
        <v>438</v>
      </c>
      <c r="C80" s="357" t="s">
        <v>408</v>
      </c>
      <c r="D80" s="358">
        <f>5780/72*74.87</f>
        <v>6010.4</v>
      </c>
      <c r="E80" s="359">
        <v>22</v>
      </c>
      <c r="F80" s="359">
        <v>22</v>
      </c>
      <c r="G80" s="359">
        <v>3.1</v>
      </c>
      <c r="H80" s="360">
        <v>0.04</v>
      </c>
      <c r="I80" s="361">
        <f t="shared" si="3"/>
        <v>240.42</v>
      </c>
      <c r="J80" s="362"/>
      <c r="K80" s="362"/>
      <c r="L80" s="363">
        <f t="shared" si="4"/>
        <v>240.42</v>
      </c>
      <c r="M80" s="364">
        <f>'[1]АУП и УВП аттестац июль'!L80+'[1]АУП и УВП аттестац август'!L80+'[1]АУП и УВП аттестац сентябрь'!L80+'[1]АУП и УВП аттестац окт'!L80+'[1]АУП и УВП аттестац ноябрь'!L80+'[1]АУП и УВП аттестац декабрь (2)'!L80</f>
        <v>970.61</v>
      </c>
      <c r="N80" s="365">
        <f t="shared" si="5"/>
        <v>240.416</v>
      </c>
      <c r="O80" s="366"/>
      <c r="P80" s="366"/>
      <c r="Q80" s="366"/>
    </row>
    <row r="81" spans="1:17" x14ac:dyDescent="0.25">
      <c r="A81" s="367"/>
      <c r="B81" s="355" t="s">
        <v>439</v>
      </c>
      <c r="C81" s="357" t="s">
        <v>408</v>
      </c>
      <c r="D81" s="358">
        <f>5780/72*83.5</f>
        <v>6703.19</v>
      </c>
      <c r="E81" s="359">
        <v>22</v>
      </c>
      <c r="F81" s="359">
        <v>22</v>
      </c>
      <c r="G81" s="359">
        <v>3.1</v>
      </c>
      <c r="H81" s="360">
        <v>0.04</v>
      </c>
      <c r="I81" s="361">
        <f t="shared" si="3"/>
        <v>268.13</v>
      </c>
      <c r="J81" s="362"/>
      <c r="K81" s="362"/>
      <c r="L81" s="363">
        <f t="shared" si="4"/>
        <v>268.13</v>
      </c>
      <c r="M81" s="364">
        <f>'[1]АУП и УВП аттестац июль'!L81+'[1]АУП и УВП аттестац август'!L81+'[1]АУП и УВП аттестац сентябрь'!L81+'[1]АУП и УВП аттестац окт'!L81+'[1]АУП и УВП аттестац ноябрь'!L81+'[1]АУП и УВП аттестац декабрь (2)'!L81</f>
        <v>1094.52</v>
      </c>
      <c r="N81" s="365">
        <f t="shared" si="5"/>
        <v>268.12759999999997</v>
      </c>
      <c r="O81" s="366"/>
      <c r="P81" s="366"/>
      <c r="Q81" s="366"/>
    </row>
    <row r="82" spans="1:17" x14ac:dyDescent="0.25">
      <c r="A82" s="367"/>
      <c r="B82" s="368" t="s">
        <v>440</v>
      </c>
      <c r="C82" s="357" t="s">
        <v>408</v>
      </c>
      <c r="D82" s="358">
        <f>5780/72*64.55</f>
        <v>5181.93</v>
      </c>
      <c r="E82" s="359">
        <v>22</v>
      </c>
      <c r="F82" s="359">
        <v>22</v>
      </c>
      <c r="G82" s="359">
        <v>3.1</v>
      </c>
      <c r="H82" s="360">
        <v>0.04</v>
      </c>
      <c r="I82" s="361">
        <f t="shared" si="3"/>
        <v>207.28</v>
      </c>
      <c r="J82" s="362"/>
      <c r="K82" s="362"/>
      <c r="L82" s="363">
        <f t="shared" si="4"/>
        <v>207.28</v>
      </c>
      <c r="M82" s="364">
        <f>'[1]АУП и УВП аттестац июль'!L82+'[1]АУП и УВП аттестац август'!L82+'[1]АУП и УВП аттестац сентябрь'!L82+'[1]АУП и УВП аттестац окт'!L82+'[1]АУП и УВП аттестац ноябрь'!L82+'[1]АУП и УВП аттестац декабрь (2)'!L82</f>
        <v>694.56</v>
      </c>
      <c r="N82" s="365">
        <f t="shared" si="5"/>
        <v>207.27719999999999</v>
      </c>
      <c r="O82" s="366"/>
      <c r="P82" s="366"/>
      <c r="Q82" s="366"/>
    </row>
    <row r="83" spans="1:17" x14ac:dyDescent="0.25">
      <c r="A83" s="367"/>
      <c r="B83" s="356" t="s">
        <v>441</v>
      </c>
      <c r="C83" s="357" t="s">
        <v>408</v>
      </c>
      <c r="D83" s="358">
        <f>5780/72*75.88</f>
        <v>6091.48</v>
      </c>
      <c r="E83" s="359">
        <v>22</v>
      </c>
      <c r="F83" s="359">
        <v>22</v>
      </c>
      <c r="G83" s="359">
        <v>3.1</v>
      </c>
      <c r="H83" s="360">
        <v>0.04</v>
      </c>
      <c r="I83" s="361">
        <f t="shared" si="3"/>
        <v>243.66</v>
      </c>
      <c r="J83" s="362"/>
      <c r="K83" s="362"/>
      <c r="L83" s="363">
        <f t="shared" si="4"/>
        <v>243.66</v>
      </c>
      <c r="M83" s="364">
        <f>'[1]АУП и УВП аттестац июль'!L83+'[1]АУП и УВП аттестац август'!L83+'[1]АУП и УВП аттестац сентябрь'!L83+'[1]АУП и УВП аттестац окт'!L83+'[1]АУП и УВП аттестац ноябрь'!L83+'[1]АУП и УВП аттестац декабрь (2)'!L83</f>
        <v>974.81</v>
      </c>
      <c r="N83" s="365">
        <f t="shared" si="5"/>
        <v>243.6592</v>
      </c>
      <c r="O83" s="366"/>
      <c r="P83" s="366"/>
      <c r="Q83" s="366"/>
    </row>
    <row r="84" spans="1:17" x14ac:dyDescent="0.25">
      <c r="A84" s="373"/>
      <c r="B84" s="356" t="s">
        <v>442</v>
      </c>
      <c r="C84" s="357" t="s">
        <v>408</v>
      </c>
      <c r="D84" s="358">
        <f>5780/72*86.44</f>
        <v>6939.21</v>
      </c>
      <c r="E84" s="359">
        <v>22</v>
      </c>
      <c r="F84" s="359">
        <v>22</v>
      </c>
      <c r="G84" s="359">
        <v>3.1</v>
      </c>
      <c r="H84" s="360">
        <v>0.04</v>
      </c>
      <c r="I84" s="361">
        <f t="shared" si="3"/>
        <v>277.57</v>
      </c>
      <c r="J84" s="362"/>
      <c r="K84" s="362"/>
      <c r="L84" s="363">
        <f t="shared" si="4"/>
        <v>277.57</v>
      </c>
      <c r="M84" s="364">
        <f>'[1]АУП и УВП аттестац июль'!L84+'[1]АУП и УВП аттестац август'!L84+'[1]АУП и УВП аттестац сентябрь'!L84+'[1]АУП и УВП аттестац окт'!L84+'[1]АУП и УВП аттестац ноябрь'!L84+'[1]АУП и УВП аттестац декабрь (2)'!L84</f>
        <v>1098.78</v>
      </c>
      <c r="N84" s="365">
        <f t="shared" si="5"/>
        <v>277.5684</v>
      </c>
      <c r="O84" s="366"/>
      <c r="P84" s="366"/>
      <c r="Q84" s="366"/>
    </row>
    <row r="85" spans="1:17" x14ac:dyDescent="0.25">
      <c r="A85" s="373"/>
      <c r="B85" s="356" t="s">
        <v>443</v>
      </c>
      <c r="C85" s="357" t="s">
        <v>408</v>
      </c>
      <c r="D85" s="358">
        <f>5780/72*41.37</f>
        <v>3321.09</v>
      </c>
      <c r="E85" s="359">
        <v>22</v>
      </c>
      <c r="F85" s="359">
        <v>22</v>
      </c>
      <c r="G85" s="359">
        <v>3.1</v>
      </c>
      <c r="H85" s="360">
        <v>0.04</v>
      </c>
      <c r="I85" s="361">
        <f t="shared" si="3"/>
        <v>132.84</v>
      </c>
      <c r="J85" s="362"/>
      <c r="K85" s="362"/>
      <c r="L85" s="363">
        <f t="shared" si="4"/>
        <v>132.84</v>
      </c>
      <c r="M85" s="364">
        <f>'[1]АУП и УВП аттестац июль'!L85+'[1]АУП и УВП аттестац август'!L85+'[1]АУП и УВП аттестац сентябрь'!L85+'[1]АУП и УВП аттестац окт'!L85+'[1]АУП и УВП аттестац ноябрь'!L85+'[1]АУП и УВП аттестац декабрь (2)'!L85</f>
        <v>685.03</v>
      </c>
      <c r="N85" s="365">
        <f t="shared" si="5"/>
        <v>132.84360000000001</v>
      </c>
      <c r="O85" s="366"/>
      <c r="P85" s="366"/>
      <c r="Q85" s="366"/>
    </row>
    <row r="86" spans="1:17" x14ac:dyDescent="0.25">
      <c r="A86" s="373"/>
      <c r="B86" s="374" t="s">
        <v>444</v>
      </c>
      <c r="C86" s="357" t="s">
        <v>408</v>
      </c>
      <c r="D86" s="358">
        <f>5780/72*75</f>
        <v>6020.83</v>
      </c>
      <c r="E86" s="359">
        <v>22</v>
      </c>
      <c r="F86" s="359">
        <v>22</v>
      </c>
      <c r="G86" s="359">
        <v>3.1</v>
      </c>
      <c r="H86" s="360">
        <v>0.04</v>
      </c>
      <c r="I86" s="361">
        <f t="shared" si="3"/>
        <v>240.83</v>
      </c>
      <c r="J86" s="362"/>
      <c r="K86" s="362"/>
      <c r="L86" s="363">
        <f t="shared" si="4"/>
        <v>240.83</v>
      </c>
      <c r="M86" s="364">
        <f>'[1]АУП и УВП аттестац июль'!L86+'[1]АУП и УВП аттестац август'!L86+'[1]АУП и УВП аттестац сентябрь'!L86+'[1]АУП и УВП аттестац окт'!L86+'[1]АУП и УВП аттестац ноябрь'!L86+'[1]АУП и УВП аттестац декабрь (2)'!L86</f>
        <v>910.9</v>
      </c>
      <c r="N86" s="365">
        <f t="shared" si="5"/>
        <v>240.83320000000001</v>
      </c>
      <c r="O86" s="366"/>
      <c r="P86" s="366"/>
      <c r="Q86" s="366"/>
    </row>
    <row r="87" spans="1:17" x14ac:dyDescent="0.25">
      <c r="A87" s="373"/>
      <c r="B87" s="370" t="s">
        <v>445</v>
      </c>
      <c r="C87" s="357" t="s">
        <v>408</v>
      </c>
      <c r="D87" s="358">
        <f>5780/72*77</f>
        <v>6181.39</v>
      </c>
      <c r="E87" s="359">
        <v>22</v>
      </c>
      <c r="F87" s="359">
        <v>22</v>
      </c>
      <c r="G87" s="359">
        <v>3.1</v>
      </c>
      <c r="H87" s="360">
        <v>0.04</v>
      </c>
      <c r="I87" s="361">
        <f t="shared" si="3"/>
        <v>247.26</v>
      </c>
      <c r="J87" s="362"/>
      <c r="K87" s="362"/>
      <c r="L87" s="363">
        <f t="shared" si="4"/>
        <v>247.26</v>
      </c>
      <c r="M87" s="364">
        <f>'[1]АУП и УВП аттестац июль'!L87+'[1]АУП и УВП аттестац август'!L87+'[1]АУП и УВП аттестац сентябрь'!L87+'[1]АУП и УВП аттестац окт'!L87+'[1]АУП и УВП аттестац ноябрь'!L87+'[1]АУП и УВП аттестац декабрь (2)'!L87</f>
        <v>946.97</v>
      </c>
      <c r="N87" s="365">
        <f t="shared" si="5"/>
        <v>247.25559999999999</v>
      </c>
      <c r="O87" s="366"/>
      <c r="P87" s="366"/>
      <c r="Q87" s="366"/>
    </row>
    <row r="88" spans="1:17" x14ac:dyDescent="0.25">
      <c r="A88" s="373"/>
      <c r="B88" s="370" t="s">
        <v>446</v>
      </c>
      <c r="C88" s="357" t="s">
        <v>408</v>
      </c>
      <c r="D88" s="358">
        <f>5780/72*9.1</f>
        <v>730.53</v>
      </c>
      <c r="E88" s="359">
        <v>22</v>
      </c>
      <c r="F88" s="359">
        <v>22</v>
      </c>
      <c r="G88" s="359">
        <v>3.1</v>
      </c>
      <c r="H88" s="360">
        <v>0.04</v>
      </c>
      <c r="I88" s="361">
        <f t="shared" si="3"/>
        <v>29.22</v>
      </c>
      <c r="J88" s="362"/>
      <c r="K88" s="362"/>
      <c r="L88" s="363">
        <f t="shared" si="4"/>
        <v>29.22</v>
      </c>
      <c r="M88" s="364">
        <f>'[1]АУП и УВП аттестац июль'!L88+'[1]АУП и УВП аттестац август'!L88+'[1]АУП и УВП аттестац сентябрь'!L88+'[1]АУП и УВП аттестац окт'!L88+'[1]АУП и УВП аттестац ноябрь'!L88+'[1]АУП и УВП аттестац декабрь (2)'!L88</f>
        <v>128.06</v>
      </c>
      <c r="N88" s="365">
        <f t="shared" si="5"/>
        <v>29.2212</v>
      </c>
      <c r="O88" s="366"/>
      <c r="P88" s="366"/>
      <c r="Q88" s="366"/>
    </row>
    <row r="89" spans="1:17" x14ac:dyDescent="0.25">
      <c r="A89" s="373"/>
      <c r="B89" s="370" t="s">
        <v>447</v>
      </c>
      <c r="C89" s="357" t="s">
        <v>408</v>
      </c>
      <c r="D89" s="358">
        <f>5780/72*20.5</f>
        <v>1645.69</v>
      </c>
      <c r="E89" s="359">
        <v>22</v>
      </c>
      <c r="F89" s="359">
        <v>22</v>
      </c>
      <c r="G89" s="359">
        <v>3.1</v>
      </c>
      <c r="H89" s="360">
        <v>0.04</v>
      </c>
      <c r="I89" s="361">
        <f t="shared" si="3"/>
        <v>65.83</v>
      </c>
      <c r="J89" s="362"/>
      <c r="K89" s="362"/>
      <c r="L89" s="363">
        <f t="shared" si="4"/>
        <v>65.83</v>
      </c>
      <c r="M89" s="364">
        <f>'[1]АУП и УВП аттестац июль'!L89+'[1]АУП и УВП аттестац август'!L89+'[1]АУП и УВП аттестац сентябрь'!L89+'[1]АУП и УВП аттестац окт'!L89+'[1]АУП и УВП аттестац ноябрь'!L89+'[1]АУП и УВП аттестац декабрь (2)'!L89</f>
        <v>269.14</v>
      </c>
      <c r="N89" s="365">
        <f t="shared" si="5"/>
        <v>65.827600000000004</v>
      </c>
      <c r="O89" s="366"/>
      <c r="P89" s="366"/>
      <c r="Q89" s="366"/>
    </row>
    <row r="90" spans="1:17" x14ac:dyDescent="0.25">
      <c r="A90" s="373"/>
      <c r="B90" s="370" t="s">
        <v>448</v>
      </c>
      <c r="C90" s="357" t="s">
        <v>408</v>
      </c>
      <c r="D90" s="358">
        <f>5780/72*50.42</f>
        <v>4047.61</v>
      </c>
      <c r="E90" s="359">
        <v>22</v>
      </c>
      <c r="F90" s="359">
        <v>22</v>
      </c>
      <c r="G90" s="359">
        <v>3.1</v>
      </c>
      <c r="H90" s="360">
        <v>0.04</v>
      </c>
      <c r="I90" s="361">
        <f t="shared" si="3"/>
        <v>161.9</v>
      </c>
      <c r="J90" s="362"/>
      <c r="K90" s="362"/>
      <c r="L90" s="363">
        <f t="shared" si="4"/>
        <v>161.9</v>
      </c>
      <c r="M90" s="364">
        <f>'[1]АУП и УВП аттестац июль'!L90+'[1]АУП и УВП аттестац август'!L90+'[1]АУП и УВП аттестац сентябрь'!L90+'[1]АУП и УВП аттестац окт'!L90+'[1]АУП и УВП аттестац ноябрь'!L90+'[1]АУП и УВП аттестац декабрь (2)'!L90</f>
        <v>715.98</v>
      </c>
      <c r="N90" s="365">
        <f t="shared" si="5"/>
        <v>161.90440000000001</v>
      </c>
      <c r="O90" s="366"/>
      <c r="P90" s="366"/>
      <c r="Q90" s="366"/>
    </row>
    <row r="91" spans="1:17" x14ac:dyDescent="0.25">
      <c r="A91" s="373"/>
      <c r="B91" s="370" t="s">
        <v>449</v>
      </c>
      <c r="C91" s="357" t="s">
        <v>408</v>
      </c>
      <c r="D91" s="358">
        <f>5780/72*136.8</f>
        <v>10982</v>
      </c>
      <c r="E91" s="359">
        <v>22</v>
      </c>
      <c r="F91" s="359">
        <v>22</v>
      </c>
      <c r="G91" s="359">
        <v>3.1</v>
      </c>
      <c r="H91" s="360">
        <v>0.04</v>
      </c>
      <c r="I91" s="361">
        <f t="shared" si="3"/>
        <v>439.28</v>
      </c>
      <c r="J91" s="362"/>
      <c r="K91" s="362"/>
      <c r="L91" s="363">
        <f t="shared" si="4"/>
        <v>439.28</v>
      </c>
      <c r="M91" s="364">
        <f>'[1]АУП и УВП аттестац июль'!L91+'[1]АУП и УВП аттестац август'!L91+'[1]АУП и УВП аттестац сентябрь'!L91+'[1]АУП и УВП аттестац окт'!L91+'[1]АУП и УВП аттестац ноябрь'!L91+'[1]АУП и УВП аттестац декабрь (2)'!L91</f>
        <v>1774.43</v>
      </c>
      <c r="N91" s="365">
        <f t="shared" si="5"/>
        <v>439.28</v>
      </c>
      <c r="O91" s="366"/>
      <c r="P91" s="366"/>
      <c r="Q91" s="366"/>
    </row>
    <row r="92" spans="1:17" x14ac:dyDescent="0.25">
      <c r="A92" s="373"/>
      <c r="B92" s="370" t="s">
        <v>450</v>
      </c>
      <c r="C92" s="357" t="s">
        <v>408</v>
      </c>
      <c r="D92" s="358">
        <f>5780/72*75.6</f>
        <v>6069</v>
      </c>
      <c r="E92" s="359">
        <v>22</v>
      </c>
      <c r="F92" s="359">
        <v>22</v>
      </c>
      <c r="G92" s="359">
        <v>3.1</v>
      </c>
      <c r="H92" s="360">
        <v>0.04</v>
      </c>
      <c r="I92" s="361">
        <f t="shared" si="3"/>
        <v>242.76</v>
      </c>
      <c r="J92" s="362"/>
      <c r="K92" s="362"/>
      <c r="L92" s="363">
        <f t="shared" si="4"/>
        <v>242.76</v>
      </c>
      <c r="M92" s="364">
        <f>'[1]АУП и УВП аттестац июль'!L92+'[1]АУП и УВП аттестац август'!L92+'[1]АУП и УВП аттестац сентябрь'!L92+'[1]АУП и УВП аттестац окт'!L92+'[1]АУП и УВП аттестац ноябрь'!L92+'[1]АУП и УВП аттестац декабрь (2)'!L92</f>
        <v>799.51</v>
      </c>
      <c r="N92" s="365">
        <f t="shared" si="5"/>
        <v>242.76</v>
      </c>
      <c r="O92" s="366"/>
      <c r="P92" s="366"/>
      <c r="Q92" s="366"/>
    </row>
    <row r="93" spans="1:17" x14ac:dyDescent="0.25">
      <c r="A93" s="373"/>
      <c r="B93" s="370" t="s">
        <v>451</v>
      </c>
      <c r="C93" s="357" t="s">
        <v>408</v>
      </c>
      <c r="D93" s="358">
        <f>5780/72*140.4</f>
        <v>11271</v>
      </c>
      <c r="E93" s="359">
        <v>22</v>
      </c>
      <c r="F93" s="359">
        <v>22</v>
      </c>
      <c r="G93" s="359">
        <v>3.1</v>
      </c>
      <c r="H93" s="360">
        <v>0.04</v>
      </c>
      <c r="I93" s="361">
        <f t="shared" si="3"/>
        <v>450.84</v>
      </c>
      <c r="J93" s="362"/>
      <c r="K93" s="362"/>
      <c r="L93" s="363">
        <f t="shared" si="4"/>
        <v>450.84</v>
      </c>
      <c r="M93" s="364">
        <f>'[1]АУП и УВП аттестац июль'!L93+'[1]АУП и УВП аттестац август'!L93+'[1]АУП и УВП аттестац сентябрь'!L93+'[1]АУП и УВП аттестац окт'!L93+'[1]АУП и УВП аттестац ноябрь'!L93+'[1]АУП и УВП аттестац декабрь (2)'!L93</f>
        <v>1818.38</v>
      </c>
      <c r="N93" s="365">
        <f t="shared" si="5"/>
        <v>450.84</v>
      </c>
      <c r="O93" s="366"/>
      <c r="P93" s="366"/>
      <c r="Q93" s="366"/>
    </row>
    <row r="94" spans="1:17" x14ac:dyDescent="0.25">
      <c r="A94" s="373"/>
      <c r="B94" s="370" t="s">
        <v>452</v>
      </c>
      <c r="C94" s="357" t="s">
        <v>408</v>
      </c>
      <c r="D94" s="358">
        <f>5780/72*55.6</f>
        <v>4463.4399999999996</v>
      </c>
      <c r="E94" s="359">
        <v>22</v>
      </c>
      <c r="F94" s="359">
        <v>22</v>
      </c>
      <c r="G94" s="359">
        <v>3.1</v>
      </c>
      <c r="H94" s="360">
        <v>0.04</v>
      </c>
      <c r="I94" s="361">
        <f t="shared" si="3"/>
        <v>178.54</v>
      </c>
      <c r="J94" s="362"/>
      <c r="K94" s="362"/>
      <c r="L94" s="363">
        <f t="shared" si="4"/>
        <v>178.54</v>
      </c>
      <c r="M94" s="364">
        <f>'[1]АУП и УВП аттестац июль'!L94+'[1]АУП и УВП аттестац август'!L94+'[1]АУП и УВП аттестац сентябрь'!L94+'[1]АУП и УВП аттестац окт'!L94+'[1]АУП и УВП аттестац ноябрь'!L94+'[1]АУП и УВП аттестац декабрь (2)'!L94</f>
        <v>758.08</v>
      </c>
      <c r="N94" s="365">
        <f t="shared" si="5"/>
        <v>178.5376</v>
      </c>
      <c r="O94" s="366"/>
      <c r="P94" s="366"/>
      <c r="Q94" s="366"/>
    </row>
    <row r="95" spans="1:17" x14ac:dyDescent="0.25">
      <c r="A95" s="373"/>
      <c r="B95" s="370" t="s">
        <v>453</v>
      </c>
      <c r="C95" s="357" t="s">
        <v>408</v>
      </c>
      <c r="D95" s="358">
        <f>5780/72*81.7</f>
        <v>6558.69</v>
      </c>
      <c r="E95" s="359">
        <v>22</v>
      </c>
      <c r="F95" s="359">
        <v>22</v>
      </c>
      <c r="G95" s="359">
        <v>3.1</v>
      </c>
      <c r="H95" s="360">
        <v>0.04</v>
      </c>
      <c r="I95" s="361">
        <f t="shared" si="3"/>
        <v>262.35000000000002</v>
      </c>
      <c r="J95" s="362"/>
      <c r="K95" s="362"/>
      <c r="L95" s="363">
        <f t="shared" si="4"/>
        <v>262.35000000000002</v>
      </c>
      <c r="M95" s="364">
        <f>'[1]АУП и УВП аттестац июль'!L95+'[1]АУП и УВП аттестац август'!L95+'[1]АУП и УВП аттестац сентябрь'!L95+'[1]АУП и УВП аттестац окт'!L95+'[1]АУП и УВП аттестац ноябрь'!L95+'[1]АУП и УВП аттестац декабрь (2)'!L95</f>
        <v>887.46</v>
      </c>
      <c r="N95" s="365">
        <f t="shared" si="5"/>
        <v>262.3476</v>
      </c>
      <c r="O95" s="366"/>
      <c r="P95" s="366"/>
      <c r="Q95" s="366"/>
    </row>
    <row r="96" spans="1:17" x14ac:dyDescent="0.25">
      <c r="A96" s="373"/>
      <c r="B96" s="370" t="s">
        <v>454</v>
      </c>
      <c r="C96" s="357" t="s">
        <v>408</v>
      </c>
      <c r="D96" s="358">
        <f>5360/72*57.5</f>
        <v>4280.5600000000004</v>
      </c>
      <c r="E96" s="359">
        <v>22</v>
      </c>
      <c r="F96" s="359">
        <v>22</v>
      </c>
      <c r="G96" s="359">
        <v>3.1</v>
      </c>
      <c r="H96" s="360">
        <v>0.04</v>
      </c>
      <c r="I96" s="361">
        <f t="shared" si="3"/>
        <v>171.22</v>
      </c>
      <c r="J96" s="362"/>
      <c r="K96" s="362"/>
      <c r="L96" s="363">
        <f t="shared" si="4"/>
        <v>171.22</v>
      </c>
      <c r="M96" s="364">
        <f>'[1]АУП и УВП аттестац июль'!L96+'[1]АУП и УВП аттестац август'!L96+'[1]АУП и УВП аттестац сентябрь'!L96+'[1]АУП и УВП аттестац окт'!L96+'[1]АУП и УВП аттестац ноябрь'!L96+'[1]АУП и УВП аттестац декабрь (2)'!L96</f>
        <v>656.33</v>
      </c>
      <c r="N96" s="365">
        <f t="shared" si="5"/>
        <v>171.22239999999999</v>
      </c>
      <c r="O96" s="366"/>
      <c r="P96" s="366"/>
      <c r="Q96" s="366"/>
    </row>
    <row r="97" spans="1:17" x14ac:dyDescent="0.25">
      <c r="A97" s="373"/>
      <c r="B97" s="370" t="s">
        <v>455</v>
      </c>
      <c r="C97" s="357" t="s">
        <v>408</v>
      </c>
      <c r="D97" s="358">
        <f>5780/72*66</f>
        <v>5298.33</v>
      </c>
      <c r="E97" s="359">
        <v>22</v>
      </c>
      <c r="F97" s="359">
        <v>22</v>
      </c>
      <c r="G97" s="359">
        <v>3.1</v>
      </c>
      <c r="H97" s="360">
        <v>0.04</v>
      </c>
      <c r="I97" s="361">
        <f t="shared" si="3"/>
        <v>211.93</v>
      </c>
      <c r="J97" s="362"/>
      <c r="K97" s="362"/>
      <c r="L97" s="363">
        <f t="shared" si="4"/>
        <v>211.93</v>
      </c>
      <c r="M97" s="364">
        <f>'[1]АУП и УВП аттестац июль'!L97+'[1]АУП и УВП аттестац август'!L97+'[1]АУП и УВП аттестац сентябрь'!L97+'[1]АУП и УВП аттестац окт'!L97+'[1]АУП и УВП аттестац ноябрь'!L97+'[1]АУП и УВП аттестац декабрь (2)'!L97</f>
        <v>536.19000000000005</v>
      </c>
      <c r="N97" s="365">
        <f t="shared" si="5"/>
        <v>211.9332</v>
      </c>
      <c r="O97" s="366"/>
      <c r="P97" s="366"/>
      <c r="Q97" s="366"/>
    </row>
    <row r="98" spans="1:17" x14ac:dyDescent="0.25">
      <c r="A98" s="373"/>
      <c r="B98" s="370" t="s">
        <v>456</v>
      </c>
      <c r="C98" s="357" t="s">
        <v>408</v>
      </c>
      <c r="D98" s="358">
        <f>5780/72*112.87</f>
        <v>9060.9500000000007</v>
      </c>
      <c r="E98" s="359">
        <v>22</v>
      </c>
      <c r="F98" s="359">
        <v>22</v>
      </c>
      <c r="G98" s="359">
        <v>3.1</v>
      </c>
      <c r="H98" s="360">
        <v>0.04</v>
      </c>
      <c r="I98" s="361">
        <f t="shared" si="3"/>
        <v>362.44</v>
      </c>
      <c r="J98" s="362"/>
      <c r="K98" s="362"/>
      <c r="L98" s="363">
        <f t="shared" si="4"/>
        <v>362.44</v>
      </c>
      <c r="M98" s="364">
        <f>'[1]АУП и УВП аттестац июль'!L98+'[1]АУП и УВП аттестац август'!L98+'[1]АУП и УВП аттестац сентябрь'!L98+'[1]АУП и УВП аттестац окт'!L98+'[1]АУП и УВП аттестац ноябрь'!L98+'[1]АУП и УВП аттестац декабрь (2)'!L98</f>
        <v>1424.91</v>
      </c>
      <c r="N98" s="365">
        <f t="shared" si="5"/>
        <v>362.43799999999999</v>
      </c>
      <c r="O98" s="366"/>
      <c r="P98" s="366"/>
      <c r="Q98" s="366"/>
    </row>
    <row r="99" spans="1:17" x14ac:dyDescent="0.25">
      <c r="A99" s="373"/>
      <c r="B99" s="370" t="s">
        <v>459</v>
      </c>
      <c r="C99" s="357" t="s">
        <v>408</v>
      </c>
      <c r="D99" s="358">
        <f>5780/72*42</f>
        <v>3371.67</v>
      </c>
      <c r="E99" s="359">
        <v>22</v>
      </c>
      <c r="F99" s="359">
        <v>22</v>
      </c>
      <c r="G99" s="359">
        <v>3.1</v>
      </c>
      <c r="H99" s="360">
        <v>0.04</v>
      </c>
      <c r="I99" s="361">
        <f t="shared" si="3"/>
        <v>134.87</v>
      </c>
      <c r="J99" s="362"/>
      <c r="K99" s="362"/>
      <c r="L99" s="363">
        <f t="shared" si="4"/>
        <v>134.87</v>
      </c>
      <c r="M99" s="364">
        <f>'[1]АУП и УВП аттестац июль'!L99+'[1]АУП и УВП аттестац август'!L99+'[1]АУП и УВП аттестац сентябрь'!L99+'[1]АУП и УВП аттестац окт'!L99+'[1]АУП и УВП аттестац ноябрь'!L99+'[1]АУП и УВП аттестац декабрь (2)'!L99</f>
        <v>472</v>
      </c>
      <c r="N99" s="365">
        <f t="shared" si="5"/>
        <v>134.86680000000001</v>
      </c>
      <c r="O99" s="366"/>
      <c r="P99" s="366"/>
      <c r="Q99" s="366"/>
    </row>
    <row r="100" spans="1:17" x14ac:dyDescent="0.25">
      <c r="A100" s="373"/>
      <c r="B100" s="370" t="s">
        <v>460</v>
      </c>
      <c r="C100" s="357" t="s">
        <v>408</v>
      </c>
      <c r="D100" s="358">
        <f>5780/72*72.1</f>
        <v>5788.03</v>
      </c>
      <c r="E100" s="359">
        <v>22</v>
      </c>
      <c r="F100" s="359">
        <v>22</v>
      </c>
      <c r="G100" s="359">
        <v>3.1</v>
      </c>
      <c r="H100" s="360">
        <v>0.04</v>
      </c>
      <c r="I100" s="361">
        <f t="shared" si="3"/>
        <v>231.52</v>
      </c>
      <c r="J100" s="362"/>
      <c r="K100" s="362"/>
      <c r="L100" s="363">
        <f t="shared" si="4"/>
        <v>231.52</v>
      </c>
      <c r="M100" s="364">
        <f>'[1]АУП и УВП аттестац июль'!L100+'[1]АУП и УВП аттестац август'!L100+'[1]АУП и УВП аттестац сентябрь'!L100+'[1]АУП и УВП аттестац окт'!L100+'[1]АУП и УВП аттестац ноябрь'!L100+'[1]АУП и УВП аттестац декабрь (2)'!L100</f>
        <v>938.79</v>
      </c>
      <c r="N100" s="365">
        <f t="shared" si="5"/>
        <v>231.52119999999999</v>
      </c>
      <c r="O100" s="366"/>
      <c r="P100" s="366"/>
      <c r="Q100" s="366"/>
    </row>
    <row r="101" spans="1:17" x14ac:dyDescent="0.25">
      <c r="A101" s="373"/>
      <c r="B101" s="370" t="s">
        <v>461</v>
      </c>
      <c r="C101" s="357" t="s">
        <v>408</v>
      </c>
      <c r="D101" s="358">
        <f>5780/72*36</f>
        <v>2890</v>
      </c>
      <c r="E101" s="359">
        <v>22</v>
      </c>
      <c r="F101" s="359">
        <v>22</v>
      </c>
      <c r="G101" s="359">
        <v>3.1</v>
      </c>
      <c r="H101" s="360">
        <v>0.04</v>
      </c>
      <c r="I101" s="361">
        <f t="shared" si="3"/>
        <v>115.6</v>
      </c>
      <c r="J101" s="362"/>
      <c r="K101" s="362"/>
      <c r="L101" s="363">
        <f t="shared" si="4"/>
        <v>115.6</v>
      </c>
      <c r="M101" s="364">
        <f>'[1]АУП и УВП аттестац июль'!L101+'[1]АУП и УВП аттестац август'!L101+'[1]АУП и УВП аттестац сентябрь'!L101+'[1]АУП и УВП аттестац окт'!L101+'[1]АУП и УВП аттестац ноябрь'!L101+'[1]АУП и УВП аттестац декабрь (2)'!L101</f>
        <v>475.21</v>
      </c>
      <c r="N101" s="365">
        <f t="shared" si="5"/>
        <v>115.6</v>
      </c>
      <c r="O101" s="366"/>
      <c r="P101" s="366"/>
      <c r="Q101" s="366"/>
    </row>
    <row r="102" spans="1:17" x14ac:dyDescent="0.25">
      <c r="A102" s="373"/>
      <c r="B102" s="370" t="s">
        <v>462</v>
      </c>
      <c r="C102" s="357" t="s">
        <v>408</v>
      </c>
      <c r="D102" s="358">
        <f>5780/72*37.1</f>
        <v>2978.31</v>
      </c>
      <c r="E102" s="359">
        <v>22</v>
      </c>
      <c r="F102" s="359">
        <v>22</v>
      </c>
      <c r="G102" s="359">
        <v>3.1</v>
      </c>
      <c r="H102" s="360">
        <v>0.04</v>
      </c>
      <c r="I102" s="361">
        <f t="shared" si="3"/>
        <v>119.13</v>
      </c>
      <c r="J102" s="362"/>
      <c r="K102" s="362"/>
      <c r="L102" s="363">
        <f t="shared" si="4"/>
        <v>119.13</v>
      </c>
      <c r="M102" s="364">
        <f>'[1]АУП и УВП аттестац июль'!L102+'[1]АУП и УВП аттестац август'!L102+'[1]АУП и УВП аттестац сентябрь'!L102+'[1]АУП и УВП аттестац окт'!L102+'[1]АУП и УВП аттестац ноябрь'!L102+'[1]АУП и УВП аттестац декабрь (2)'!L102</f>
        <v>467.87</v>
      </c>
      <c r="N102" s="365">
        <f t="shared" si="5"/>
        <v>119.1324</v>
      </c>
      <c r="O102" s="366"/>
      <c r="P102" s="366"/>
      <c r="Q102" s="366"/>
    </row>
    <row r="103" spans="1:17" x14ac:dyDescent="0.25">
      <c r="A103" s="373"/>
      <c r="B103" s="370" t="s">
        <v>463</v>
      </c>
      <c r="C103" s="357" t="s">
        <v>408</v>
      </c>
      <c r="D103" s="358">
        <f>5780/72*77.57</f>
        <v>6227.15</v>
      </c>
      <c r="E103" s="359">
        <v>22</v>
      </c>
      <c r="F103" s="359">
        <v>22</v>
      </c>
      <c r="G103" s="359">
        <v>3.1</v>
      </c>
      <c r="H103" s="360">
        <v>0.04</v>
      </c>
      <c r="I103" s="361">
        <f t="shared" si="3"/>
        <v>249.09</v>
      </c>
      <c r="J103" s="362"/>
      <c r="K103" s="362"/>
      <c r="L103" s="363">
        <f t="shared" si="4"/>
        <v>249.09</v>
      </c>
      <c r="M103" s="375">
        <f>'[1]АУП и УВП аттестац июль'!L103+'[1]АУП и УВП аттестац август'!L103+'[1]АУП и УВП аттестац сентябрь'!L103+'[1]АУП и УВП аттестац окт'!L103+'[1]АУП и УВП аттестац ноябрь'!L103+'[1]АУП и УВП аттестац декабрь (2)'!L103</f>
        <v>684.22</v>
      </c>
      <c r="N103" s="365">
        <f t="shared" si="5"/>
        <v>249.08600000000001</v>
      </c>
      <c r="O103" s="215"/>
      <c r="P103" s="215"/>
      <c r="Q103" s="215"/>
    </row>
    <row r="104" spans="1:17" x14ac:dyDescent="0.25">
      <c r="A104" s="373"/>
      <c r="B104" s="370" t="s">
        <v>464</v>
      </c>
      <c r="C104" s="357" t="s">
        <v>408</v>
      </c>
      <c r="D104" s="358">
        <f>5780/72*20.25</f>
        <v>1625.63</v>
      </c>
      <c r="E104" s="359">
        <v>22</v>
      </c>
      <c r="F104" s="359">
        <v>22</v>
      </c>
      <c r="G104" s="359">
        <v>3.1</v>
      </c>
      <c r="H104" s="360">
        <v>0.04</v>
      </c>
      <c r="I104" s="361">
        <f t="shared" si="3"/>
        <v>65.03</v>
      </c>
      <c r="J104" s="362"/>
      <c r="K104" s="362"/>
      <c r="L104" s="363">
        <f t="shared" si="4"/>
        <v>65.03</v>
      </c>
      <c r="M104" s="375">
        <f>'[1]АУП и УВП аттестац июль'!L104+'[1]АУП и УВП аттестац август'!L104+'[1]АУП и УВП аттестац сентябрь'!L104+'[1]АУП и УВП аттестац окт'!L106+'[1]АУП и УВП аттестац ноябрь'!L104+'[1]АУП и УВП аттестац декабрь (2)'!L104</f>
        <v>102.19</v>
      </c>
      <c r="N104" s="365">
        <f t="shared" si="5"/>
        <v>65.025199999999998</v>
      </c>
      <c r="O104" s="215"/>
      <c r="P104" s="215"/>
      <c r="Q104" s="215"/>
    </row>
    <row r="105" spans="1:17" x14ac:dyDescent="0.25">
      <c r="A105" s="376"/>
      <c r="B105" s="377" t="s">
        <v>465</v>
      </c>
      <c r="C105" s="378" t="s">
        <v>466</v>
      </c>
      <c r="D105" s="253">
        <v>3020</v>
      </c>
      <c r="E105" s="254">
        <v>22</v>
      </c>
      <c r="F105" s="254">
        <v>22</v>
      </c>
      <c r="G105" s="254">
        <v>3.1</v>
      </c>
      <c r="H105" s="255">
        <v>0.04</v>
      </c>
      <c r="I105" s="256">
        <f t="shared" si="3"/>
        <v>120.8</v>
      </c>
      <c r="J105" s="257"/>
      <c r="K105" s="257"/>
      <c r="L105" s="258">
        <f t="shared" si="4"/>
        <v>120.8</v>
      </c>
      <c r="M105" s="259">
        <f>'[1]АУП и УВП аттестац июль'!L105+'[1]АУП и УВП аттестац август'!L105+'[1]АУП и УВП аттестац сентябрь'!L105+'[1]АУП и УВП аттестац окт'!L107+'[1]АУП и УВП аттестац ноябрь'!L105+'[1]АУП и УВП аттестац декабрь (2)'!L105</f>
        <v>201.33</v>
      </c>
      <c r="N105" s="260">
        <f t="shared" si="5"/>
        <v>120.8</v>
      </c>
      <c r="O105" s="261"/>
      <c r="P105" s="261"/>
      <c r="Q105" s="261"/>
    </row>
    <row r="106" spans="1:17" x14ac:dyDescent="0.25">
      <c r="A106" s="379"/>
      <c r="B106" s="380" t="s">
        <v>467</v>
      </c>
      <c r="C106" s="254" t="s">
        <v>468</v>
      </c>
      <c r="D106" s="253">
        <v>1057</v>
      </c>
      <c r="E106" s="254">
        <v>22</v>
      </c>
      <c r="F106" s="254">
        <v>22</v>
      </c>
      <c r="G106" s="254">
        <v>3.1</v>
      </c>
      <c r="H106" s="255">
        <v>0.04</v>
      </c>
      <c r="I106" s="256">
        <f t="shared" si="3"/>
        <v>42.28</v>
      </c>
      <c r="J106" s="257"/>
      <c r="K106" s="257"/>
      <c r="L106" s="258">
        <f t="shared" si="4"/>
        <v>42.28</v>
      </c>
      <c r="M106" s="259">
        <f>'[1]АУП и УВП аттестац июль'!L106+'[1]АУП и УВП аттестац август'!L106+'[1]АУП и УВП аттестац сентябрь'!L106+'[1]АУП и УВП аттестац окт'!L106+'[1]АУП и УВП аттестац ноябрь'!L106+'[1]АУП и УВП аттестац декабрь (2)'!L106</f>
        <v>68.45</v>
      </c>
      <c r="N106" s="260">
        <f t="shared" si="5"/>
        <v>42.28</v>
      </c>
      <c r="O106" s="261"/>
      <c r="P106" s="261"/>
      <c r="Q106" s="261"/>
    </row>
    <row r="107" spans="1:17" x14ac:dyDescent="0.25">
      <c r="A107" s="250"/>
      <c r="B107" s="251" t="s">
        <v>469</v>
      </c>
      <c r="C107" s="254" t="s">
        <v>468</v>
      </c>
      <c r="D107" s="253">
        <v>1057</v>
      </c>
      <c r="E107" s="254">
        <v>22</v>
      </c>
      <c r="F107" s="254">
        <v>22</v>
      </c>
      <c r="G107" s="254">
        <v>3.1</v>
      </c>
      <c r="H107" s="255">
        <v>0.04</v>
      </c>
      <c r="I107" s="256">
        <f t="shared" si="3"/>
        <v>42.28</v>
      </c>
      <c r="J107" s="257"/>
      <c r="K107" s="257"/>
      <c r="L107" s="258">
        <f t="shared" si="4"/>
        <v>42.28</v>
      </c>
      <c r="M107" s="259">
        <f>'[1]АУП и УВП аттестац июль'!L107+'[1]АУП и УВП аттестац август'!L107+'[1]АУП и УВП аттестац сентябрь'!L107+'[1]АУП и УВП аттестац окт'!L107+'[1]АУП и УВП аттестац ноябрь'!L107+'[1]АУП и УВП аттестац декабрь (2)'!L107</f>
        <v>68.45</v>
      </c>
      <c r="N107" s="260">
        <f t="shared" si="5"/>
        <v>42.28</v>
      </c>
      <c r="O107" s="261"/>
      <c r="P107" s="261"/>
      <c r="Q107" s="261"/>
    </row>
    <row r="108" spans="1:17" x14ac:dyDescent="0.25">
      <c r="A108" s="381"/>
      <c r="B108" s="382" t="s">
        <v>768</v>
      </c>
      <c r="C108" s="383"/>
      <c r="D108" s="384">
        <f>SUM(D72:D107)</f>
        <v>195104.29</v>
      </c>
      <c r="E108" s="383"/>
      <c r="F108" s="383"/>
      <c r="G108" s="383"/>
      <c r="H108" s="360">
        <v>0.04</v>
      </c>
      <c r="I108" s="384">
        <f>SUM(I4:I107)-I10-I17-I19-I48-I49</f>
        <v>24381.02</v>
      </c>
      <c r="J108" s="384">
        <f>SUM(J4:J107)</f>
        <v>7</v>
      </c>
      <c r="K108" s="384">
        <f>SUM(K4:K107)</f>
        <v>36</v>
      </c>
      <c r="L108" s="385">
        <f>SUM(L4:L107)-L10-L17-L19-L48-L49</f>
        <v>24381.02</v>
      </c>
      <c r="M108" s="385">
        <f>SUM(M4:M107)-M10-M17-M19-M48-M49</f>
        <v>100398.59</v>
      </c>
      <c r="N108" s="365">
        <f>SUM(N4:N107)</f>
        <v>25433.810399999998</v>
      </c>
      <c r="O108" s="225">
        <f>N4+N5+N6+N8+N9</f>
        <v>4300</v>
      </c>
      <c r="P108" s="389" t="s">
        <v>120</v>
      </c>
      <c r="Q108" s="215"/>
    </row>
    <row r="109" spans="1:17" x14ac:dyDescent="0.25">
      <c r="A109" s="386"/>
      <c r="B109" s="386"/>
      <c r="C109" s="387"/>
      <c r="D109" s="388">
        <f>D108</f>
        <v>195104.29</v>
      </c>
      <c r="E109" s="387"/>
      <c r="F109" s="387"/>
      <c r="G109" s="387"/>
      <c r="H109" s="360">
        <v>0.04</v>
      </c>
      <c r="I109" s="388">
        <f>I108</f>
        <v>24381.02</v>
      </c>
      <c r="J109" s="388">
        <f>J108</f>
        <v>7</v>
      </c>
      <c r="K109" s="388">
        <f>K108</f>
        <v>36</v>
      </c>
      <c r="L109" s="385">
        <f>L10+L17+L19+L48+L49</f>
        <v>1052.8</v>
      </c>
      <c r="M109" s="385">
        <f>M10+M17+M19+M48+M49</f>
        <v>5178.21</v>
      </c>
      <c r="N109" s="365">
        <f>N108-N10-N17-N19-N48-N49</f>
        <v>24381.010399999999</v>
      </c>
      <c r="O109" s="404">
        <f>N7+N12+N20+N23+N24+N26+N27+N36+N37+N38+N39+N47+N50</f>
        <v>2948.8</v>
      </c>
      <c r="P109" s="389" t="s">
        <v>120</v>
      </c>
      <c r="Q109" s="215"/>
    </row>
    <row r="110" spans="1:17" x14ac:dyDescent="0.25">
      <c r="A110" s="386"/>
      <c r="B110" s="386"/>
      <c r="C110" s="387"/>
      <c r="D110" s="390"/>
      <c r="E110" s="387"/>
      <c r="F110" s="387"/>
      <c r="G110" s="387"/>
      <c r="H110" s="390"/>
      <c r="I110" s="391"/>
      <c r="J110" s="391"/>
      <c r="K110" s="391"/>
      <c r="L110" s="392"/>
      <c r="M110" s="215"/>
      <c r="N110" s="215"/>
      <c r="O110" s="405">
        <f>N40+N46</f>
        <v>268</v>
      </c>
      <c r="P110" s="389" t="s">
        <v>470</v>
      </c>
      <c r="Q110" s="215"/>
    </row>
    <row r="111" spans="1:17" x14ac:dyDescent="0.25">
      <c r="A111" s="386"/>
      <c r="B111" s="386" t="s">
        <v>471</v>
      </c>
      <c r="C111" s="387"/>
      <c r="D111" s="390"/>
      <c r="E111" s="387"/>
      <c r="F111" s="387"/>
      <c r="G111" s="390"/>
      <c r="H111" s="390"/>
      <c r="I111" s="391"/>
      <c r="J111" s="391"/>
      <c r="K111" s="391"/>
      <c r="L111" s="392">
        <f>'[1]АУП и УВП аттестац июль'!L108+'[1]АУП и УВП аттестац август'!L108+'[1]АУП и УВП аттестац сентябрь'!L108+'[1]АУП и УВП аттестац окт'!L108+'[1]АУП и УВП аттестац ноябрь'!L108+'[1]АУП и УВП аттестац декабрь (2)'!L108</f>
        <v>100398.59</v>
      </c>
      <c r="M111" s="215"/>
      <c r="N111" s="215"/>
      <c r="O111" s="406">
        <f>N41+N45</f>
        <v>445.6</v>
      </c>
      <c r="P111" s="389" t="s">
        <v>472</v>
      </c>
      <c r="Q111" s="215"/>
    </row>
    <row r="112" spans="1:17" x14ac:dyDescent="0.25">
      <c r="A112" s="393"/>
      <c r="B112" s="386" t="s">
        <v>473</v>
      </c>
      <c r="C112" s="387"/>
      <c r="D112" s="390"/>
      <c r="E112" s="387"/>
      <c r="F112" s="387"/>
      <c r="G112" s="387"/>
      <c r="H112" s="390"/>
      <c r="I112" s="391"/>
      <c r="J112" s="391"/>
      <c r="K112" s="391"/>
      <c r="L112" s="392">
        <f>L111*15%</f>
        <v>15059.79</v>
      </c>
      <c r="M112" s="215"/>
      <c r="N112" s="394"/>
      <c r="O112" s="407">
        <f>N11+N13+N14+N15+N16+N18+N21+N105+N106+N107</f>
        <v>1357.76</v>
      </c>
      <c r="P112" s="389" t="s">
        <v>474</v>
      </c>
      <c r="Q112" s="215"/>
    </row>
    <row r="113" spans="1:17" ht="15.75" thickBot="1" x14ac:dyDescent="0.3">
      <c r="A113" s="395"/>
      <c r="B113" s="386" t="s">
        <v>821</v>
      </c>
      <c r="C113" s="396"/>
      <c r="D113" s="397"/>
      <c r="E113" s="396"/>
      <c r="F113" s="396"/>
      <c r="G113" s="396"/>
      <c r="H113" s="397"/>
      <c r="I113" s="398"/>
      <c r="J113" s="398"/>
      <c r="K113" s="398"/>
      <c r="L113" s="392">
        <f>L111+L112</f>
        <v>115458.38</v>
      </c>
      <c r="M113" s="215"/>
      <c r="N113" s="215"/>
      <c r="O113" s="408">
        <f>N25</f>
        <v>214.4</v>
      </c>
      <c r="P113" s="389" t="s">
        <v>475</v>
      </c>
      <c r="Q113" s="215"/>
    </row>
    <row r="114" spans="1:17" ht="15.75" thickBot="1" x14ac:dyDescent="0.3">
      <c r="A114" s="399"/>
      <c r="B114" s="386" t="s">
        <v>476</v>
      </c>
      <c r="C114" s="400"/>
      <c r="D114" s="401"/>
      <c r="E114" s="400"/>
      <c r="F114" s="400"/>
      <c r="G114" s="400"/>
      <c r="H114" s="402"/>
      <c r="I114" s="402"/>
      <c r="J114" s="402"/>
      <c r="K114" s="402"/>
      <c r="L114" s="403">
        <f>L113*34.2%</f>
        <v>39486.769999999997</v>
      </c>
      <c r="M114" s="215"/>
      <c r="N114" s="215"/>
      <c r="O114" s="409">
        <f>N42+N43+N44</f>
        <v>678.4</v>
      </c>
      <c r="P114" s="389" t="s">
        <v>477</v>
      </c>
      <c r="Q114" s="215"/>
    </row>
    <row r="115" spans="1:17" x14ac:dyDescent="0.25">
      <c r="A115" s="215"/>
      <c r="B115" s="215"/>
      <c r="C115" s="215"/>
      <c r="D115" s="215"/>
      <c r="E115" s="215"/>
      <c r="F115" s="215"/>
      <c r="G115" s="215"/>
      <c r="H115" s="215"/>
      <c r="I115" s="215"/>
      <c r="J115" s="215"/>
      <c r="K115" s="215"/>
      <c r="L115" s="215"/>
      <c r="M115" s="215"/>
      <c r="N115" s="215"/>
      <c r="O115" s="410">
        <f>N22+N28+N29+N30+N31+N32+N33+N34+N35</f>
        <v>1174.4000000000001</v>
      </c>
      <c r="P115" s="389" t="s">
        <v>478</v>
      </c>
      <c r="Q115" s="215"/>
    </row>
    <row r="116" spans="1:17" x14ac:dyDescent="0.25">
      <c r="A116" s="215"/>
      <c r="B116" s="215"/>
      <c r="C116" s="215"/>
      <c r="D116" s="215"/>
      <c r="E116" s="215"/>
      <c r="F116" s="215"/>
      <c r="G116" s="215"/>
      <c r="H116" s="215"/>
      <c r="I116" s="215"/>
      <c r="J116" s="215"/>
      <c r="K116" s="215"/>
      <c r="L116" s="215"/>
      <c r="M116" s="215"/>
      <c r="N116" s="215"/>
      <c r="O116" s="411">
        <f>N51+N52</f>
        <v>409.6</v>
      </c>
      <c r="P116" s="389" t="s">
        <v>290</v>
      </c>
      <c r="Q116" s="215"/>
    </row>
    <row r="117" spans="1:17" x14ac:dyDescent="0.25">
      <c r="A117" s="215"/>
      <c r="B117" s="215"/>
      <c r="C117" s="215"/>
      <c r="D117" s="215"/>
      <c r="E117" s="215"/>
      <c r="F117" s="215"/>
      <c r="G117" s="215"/>
      <c r="H117" s="215"/>
      <c r="I117" s="215"/>
      <c r="J117" s="215"/>
      <c r="K117" s="215"/>
      <c r="L117" s="215"/>
      <c r="M117" s="215"/>
      <c r="N117" s="215"/>
      <c r="O117" s="394">
        <f>N53+N54+N55+N56+N57+N58+N59+N60+N61+N62+N63+N64+N65+N66+N67+N68+N69+N70+N71+N72+N73+N74+N75+N76+N77+N78+N79+N80+N81+N82+N83+N84+N85+N86+N87+N88+N89+N90+N91+N92+N93+N94+N95+N96+N97+N98+N99+N100+N101+N102+N103+N104</f>
        <v>12584.05</v>
      </c>
      <c r="P117" s="389" t="s">
        <v>479</v>
      </c>
      <c r="Q117" s="215"/>
    </row>
    <row r="118" spans="1:17" x14ac:dyDescent="0.25">
      <c r="A118" s="215"/>
      <c r="B118" s="215"/>
      <c r="C118" s="215"/>
      <c r="D118" s="215"/>
      <c r="E118" s="215"/>
      <c r="F118" s="215"/>
      <c r="G118" s="215"/>
      <c r="H118" s="215"/>
      <c r="I118" s="215"/>
      <c r="J118" s="215"/>
      <c r="K118" s="215"/>
      <c r="L118" s="215"/>
      <c r="M118" s="215"/>
      <c r="N118" s="215"/>
      <c r="O118" s="394">
        <f>N109-O109-O110-O111-O112-O113-O114-O115-O116-O117</f>
        <v>4300</v>
      </c>
      <c r="P118" s="215"/>
      <c r="Q118" s="215"/>
    </row>
  </sheetData>
  <mergeCells count="15">
    <mergeCell ref="N2:N3"/>
    <mergeCell ref="J2:J3"/>
    <mergeCell ref="K2:K3"/>
    <mergeCell ref="L2:L3"/>
    <mergeCell ref="M2:M3"/>
    <mergeCell ref="A1:L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honeticPr fontId="17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9"/>
  <sheetViews>
    <sheetView topLeftCell="G39" workbookViewId="0">
      <selection sqref="A1:T54"/>
    </sheetView>
  </sheetViews>
  <sheetFormatPr defaultRowHeight="15" x14ac:dyDescent="0.25"/>
  <cols>
    <col min="1" max="1" width="2.42578125" customWidth="1"/>
    <col min="2" max="2" width="23.42578125" style="3" customWidth="1"/>
    <col min="3" max="3" width="3.42578125" style="3" customWidth="1"/>
    <col min="4" max="4" width="4.28515625" style="3" customWidth="1"/>
    <col min="5" max="5" width="8" style="3" customWidth="1"/>
    <col min="6" max="6" width="7.85546875" style="3" customWidth="1"/>
    <col min="7" max="7" width="6" style="3" customWidth="1"/>
    <col min="8" max="8" width="6.42578125" style="3" customWidth="1"/>
    <col min="9" max="9" width="5.7109375" style="3" customWidth="1"/>
    <col min="10" max="10" width="7.85546875" style="3" customWidth="1"/>
    <col min="11" max="11" width="7.42578125" style="3" customWidth="1"/>
    <col min="12" max="12" width="6" style="3" customWidth="1"/>
    <col min="13" max="13" width="4.7109375" style="3" customWidth="1"/>
    <col min="14" max="14" width="7.7109375" style="3" customWidth="1"/>
    <col min="15" max="15" width="7" style="3" customWidth="1"/>
    <col min="16" max="16" width="5.140625" style="3" customWidth="1"/>
    <col min="17" max="17" width="6.7109375" style="3" customWidth="1"/>
    <col min="18" max="19" width="6.85546875" style="3" customWidth="1"/>
    <col min="20" max="20" width="7.42578125" style="3" customWidth="1"/>
    <col min="21" max="21" width="9.42578125" bestFit="1" customWidth="1"/>
  </cols>
  <sheetData>
    <row r="1" spans="1:20" x14ac:dyDescent="0.25">
      <c r="A1" s="10"/>
      <c r="B1" s="851" t="s">
        <v>305</v>
      </c>
      <c r="C1" s="851"/>
      <c r="D1" s="851"/>
      <c r="E1" s="851"/>
      <c r="F1" s="851"/>
      <c r="G1" s="851"/>
      <c r="H1" s="851"/>
      <c r="I1" s="851"/>
      <c r="J1" s="851"/>
      <c r="K1" s="851"/>
      <c r="L1" s="851"/>
      <c r="M1" s="851"/>
      <c r="N1" s="851"/>
      <c r="O1" s="851"/>
      <c r="P1" s="851"/>
      <c r="Q1" s="851"/>
      <c r="R1" s="851"/>
      <c r="S1" s="851"/>
    </row>
    <row r="2" spans="1:20" x14ac:dyDescent="0.25">
      <c r="A2" s="10"/>
      <c r="B2" s="852" t="s">
        <v>222</v>
      </c>
      <c r="C2" s="852"/>
      <c r="D2" s="852"/>
      <c r="E2" s="852"/>
      <c r="F2" s="852"/>
      <c r="G2" s="852"/>
      <c r="H2" s="852"/>
      <c r="I2" s="852"/>
      <c r="J2" s="852"/>
      <c r="K2" s="852"/>
      <c r="L2" s="852"/>
      <c r="M2" s="852"/>
      <c r="N2" s="852"/>
      <c r="O2" s="852"/>
      <c r="P2" s="852"/>
      <c r="Q2" s="852"/>
      <c r="R2" s="852"/>
      <c r="S2" s="852"/>
    </row>
    <row r="3" spans="1:20" x14ac:dyDescent="0.25">
      <c r="A3" s="10"/>
      <c r="B3" s="853" t="s">
        <v>684</v>
      </c>
      <c r="C3" s="853"/>
      <c r="D3" s="853"/>
      <c r="E3" s="853"/>
      <c r="F3" s="853"/>
      <c r="G3" s="853"/>
      <c r="H3" s="853"/>
      <c r="I3" s="853"/>
      <c r="J3" s="853"/>
      <c r="K3" s="853"/>
      <c r="L3" s="853"/>
      <c r="M3" s="853"/>
      <c r="N3" s="853"/>
      <c r="O3" s="853"/>
      <c r="P3" s="853"/>
      <c r="Q3" s="853"/>
      <c r="R3" s="853"/>
      <c r="S3" s="3" t="s">
        <v>685</v>
      </c>
    </row>
    <row r="4" spans="1:20" x14ac:dyDescent="0.25">
      <c r="A4" s="10"/>
      <c r="F4" s="201"/>
      <c r="G4" s="201"/>
      <c r="H4" s="201"/>
      <c r="I4" s="201"/>
    </row>
    <row r="5" spans="1:20" ht="33.75" customHeight="1" x14ac:dyDescent="0.25">
      <c r="A5" s="10"/>
      <c r="B5" s="854"/>
      <c r="C5" s="855" t="s">
        <v>686</v>
      </c>
      <c r="D5" s="855" t="s">
        <v>687</v>
      </c>
      <c r="E5" s="207" t="s">
        <v>688</v>
      </c>
      <c r="F5" s="848" t="s">
        <v>297</v>
      </c>
      <c r="G5" s="849"/>
      <c r="H5" s="849"/>
      <c r="I5" s="849"/>
      <c r="J5" s="849"/>
      <c r="K5" s="849"/>
      <c r="L5" s="849"/>
      <c r="M5" s="850"/>
      <c r="N5" s="858" t="s">
        <v>689</v>
      </c>
      <c r="O5" s="845" t="s">
        <v>218</v>
      </c>
      <c r="P5" s="846"/>
      <c r="Q5" s="847"/>
      <c r="R5" s="854" t="s">
        <v>690</v>
      </c>
      <c r="S5" s="844" t="s">
        <v>118</v>
      </c>
      <c r="T5" s="844" t="s">
        <v>119</v>
      </c>
    </row>
    <row r="6" spans="1:20" ht="89.25" customHeight="1" x14ac:dyDescent="0.25">
      <c r="A6" s="10"/>
      <c r="B6" s="854"/>
      <c r="C6" s="856"/>
      <c r="D6" s="856"/>
      <c r="E6" s="478" t="s">
        <v>296</v>
      </c>
      <c r="F6" s="479" t="s">
        <v>292</v>
      </c>
      <c r="G6" s="479" t="s">
        <v>291</v>
      </c>
      <c r="H6" s="479" t="s">
        <v>293</v>
      </c>
      <c r="I6" s="479" t="s">
        <v>294</v>
      </c>
      <c r="J6" s="480" t="s">
        <v>295</v>
      </c>
      <c r="K6" s="481" t="s">
        <v>298</v>
      </c>
      <c r="L6" s="481" t="s">
        <v>302</v>
      </c>
      <c r="M6" s="481" t="s">
        <v>303</v>
      </c>
      <c r="N6" s="858"/>
      <c r="O6" s="477" t="s">
        <v>813</v>
      </c>
      <c r="P6" s="414" t="s">
        <v>300</v>
      </c>
      <c r="Q6" s="414" t="s">
        <v>301</v>
      </c>
      <c r="R6" s="854"/>
      <c r="S6" s="844"/>
      <c r="T6" s="844"/>
    </row>
    <row r="7" spans="1:20" ht="81.75" customHeight="1" x14ac:dyDescent="0.25">
      <c r="A7" s="10"/>
      <c r="B7" s="854"/>
      <c r="C7" s="857"/>
      <c r="D7" s="857"/>
      <c r="E7" s="451" t="s">
        <v>126</v>
      </c>
      <c r="F7" s="452" t="s">
        <v>127</v>
      </c>
      <c r="G7" s="452" t="s">
        <v>128</v>
      </c>
      <c r="H7" s="452" t="s">
        <v>129</v>
      </c>
      <c r="I7" s="452" t="s">
        <v>130</v>
      </c>
      <c r="J7" s="453" t="s">
        <v>131</v>
      </c>
      <c r="K7" s="454" t="s">
        <v>299</v>
      </c>
      <c r="L7" s="454"/>
      <c r="M7" s="454"/>
      <c r="N7" s="858"/>
      <c r="O7" s="174"/>
      <c r="P7" s="174"/>
      <c r="Q7" s="174"/>
      <c r="R7" s="854"/>
      <c r="S7" s="844"/>
      <c r="T7" s="844"/>
    </row>
    <row r="8" spans="1:20" x14ac:dyDescent="0.25">
      <c r="A8" s="10"/>
      <c r="B8" s="200">
        <v>1</v>
      </c>
      <c r="C8" s="200"/>
      <c r="D8" s="200"/>
      <c r="E8" s="200">
        <v>2</v>
      </c>
      <c r="F8" s="200">
        <v>3</v>
      </c>
      <c r="G8" s="200">
        <v>4</v>
      </c>
      <c r="H8" s="200">
        <v>5</v>
      </c>
      <c r="I8" s="200">
        <v>6</v>
      </c>
      <c r="J8" s="664">
        <v>7</v>
      </c>
      <c r="K8" s="664">
        <v>8</v>
      </c>
      <c r="L8" s="664">
        <v>9</v>
      </c>
      <c r="M8" s="664">
        <v>10</v>
      </c>
      <c r="N8" s="200">
        <v>11</v>
      </c>
      <c r="O8" s="200">
        <v>12</v>
      </c>
      <c r="P8" s="200">
        <v>13</v>
      </c>
      <c r="Q8" s="200">
        <v>14</v>
      </c>
      <c r="R8" s="200">
        <v>15</v>
      </c>
      <c r="S8" s="200">
        <v>16</v>
      </c>
      <c r="T8" s="208">
        <v>17</v>
      </c>
    </row>
    <row r="9" spans="1:20" ht="27.75" customHeight="1" x14ac:dyDescent="0.25">
      <c r="A9" s="10"/>
      <c r="B9" s="204" t="s">
        <v>864</v>
      </c>
      <c r="C9" s="200"/>
      <c r="D9" s="200"/>
      <c r="E9" s="206">
        <f>5780/720*11686</f>
        <v>93813</v>
      </c>
      <c r="F9" s="114">
        <f>5780*E69%</f>
        <v>2348.41</v>
      </c>
      <c r="G9" s="205">
        <f>4768.89</f>
        <v>4769</v>
      </c>
      <c r="H9" s="205">
        <f>((5780*29+5360*2)*12%)*20%</f>
        <v>4280</v>
      </c>
      <c r="I9" s="205">
        <f>((5780*19+5360)*20%)*20%</f>
        <v>4607</v>
      </c>
      <c r="J9" s="206">
        <f>((5780*4)*30%+(5780)*20%+(5780*11)*10%+(5360)*10%)*20%</f>
        <v>2997</v>
      </c>
      <c r="K9" s="206">
        <f>E9*15%</f>
        <v>14072</v>
      </c>
      <c r="L9" s="206">
        <f>'расчет за вредность'!O117*20%</f>
        <v>2517</v>
      </c>
      <c r="M9" s="206"/>
      <c r="N9" s="206">
        <f>E9+F9+G9+H9+I9+J9+K9+L9+M9</f>
        <v>129403</v>
      </c>
      <c r="O9" s="206">
        <f>12758.72</f>
        <v>12759</v>
      </c>
      <c r="P9" s="211">
        <v>1306</v>
      </c>
      <c r="Q9" s="206">
        <f>N9*30%-O9-P9</f>
        <v>24756</v>
      </c>
      <c r="R9" s="205">
        <f>(N9+O9+P9+Q9)*15%</f>
        <v>25234</v>
      </c>
      <c r="S9" s="412">
        <f>N9+O9+P9+Q9+R9</f>
        <v>193458</v>
      </c>
      <c r="T9" s="138">
        <f>S9*12</f>
        <v>2321496</v>
      </c>
    </row>
    <row r="10" spans="1:20" ht="17.25" customHeight="1" x14ac:dyDescent="0.25">
      <c r="A10" s="10"/>
      <c r="B10" s="204" t="s">
        <v>121</v>
      </c>
      <c r="C10" s="202"/>
      <c r="D10" s="202"/>
      <c r="E10" s="206">
        <f>3608</f>
        <v>3608</v>
      </c>
      <c r="F10" s="205"/>
      <c r="G10" s="205"/>
      <c r="H10" s="205"/>
      <c r="I10" s="205"/>
      <c r="J10" s="483"/>
      <c r="K10" s="483"/>
      <c r="L10" s="211">
        <f>'расчет за вредность'!O116*20%</f>
        <v>82</v>
      </c>
      <c r="M10" s="483"/>
      <c r="N10" s="206">
        <f>E10+F10+G10+H10+I10+J10+K10+L10+M10</f>
        <v>3690</v>
      </c>
      <c r="O10" s="206">
        <v>361</v>
      </c>
      <c r="P10" s="206"/>
      <c r="Q10" s="206">
        <f>N10*30%-O10-P10</f>
        <v>746</v>
      </c>
      <c r="R10" s="205">
        <f>(N10+O10+P10+Q10)*15%</f>
        <v>720</v>
      </c>
      <c r="S10" s="412">
        <f>N10+O10+P10+Q10+R10</f>
        <v>5517</v>
      </c>
      <c r="T10" s="138">
        <f>S10*12</f>
        <v>66204</v>
      </c>
    </row>
    <row r="11" spans="1:20" ht="24.75" customHeight="1" x14ac:dyDescent="0.25">
      <c r="A11" s="10"/>
      <c r="B11" s="417" t="s">
        <v>122</v>
      </c>
      <c r="C11" s="421"/>
      <c r="D11" s="421"/>
      <c r="E11" s="418">
        <f t="shared" ref="E11:T11" si="0">E9+E10</f>
        <v>97421</v>
      </c>
      <c r="F11" s="418">
        <f t="shared" si="0"/>
        <v>2348</v>
      </c>
      <c r="G11" s="418">
        <f t="shared" si="0"/>
        <v>4769</v>
      </c>
      <c r="H11" s="418">
        <f t="shared" si="0"/>
        <v>4280</v>
      </c>
      <c r="I11" s="418">
        <f t="shared" si="0"/>
        <v>4607</v>
      </c>
      <c r="J11" s="418">
        <f t="shared" si="0"/>
        <v>2997</v>
      </c>
      <c r="K11" s="418">
        <f t="shared" si="0"/>
        <v>14072</v>
      </c>
      <c r="L11" s="418">
        <f t="shared" si="0"/>
        <v>2599</v>
      </c>
      <c r="M11" s="418">
        <f t="shared" si="0"/>
        <v>0</v>
      </c>
      <c r="N11" s="418">
        <f t="shared" si="0"/>
        <v>133093</v>
      </c>
      <c r="O11" s="418">
        <f t="shared" si="0"/>
        <v>13120</v>
      </c>
      <c r="P11" s="418">
        <f t="shared" si="0"/>
        <v>1306</v>
      </c>
      <c r="Q11" s="418">
        <f t="shared" si="0"/>
        <v>25502</v>
      </c>
      <c r="R11" s="418">
        <f t="shared" si="0"/>
        <v>25954</v>
      </c>
      <c r="S11" s="418">
        <f t="shared" si="0"/>
        <v>198975</v>
      </c>
      <c r="T11" s="419">
        <f t="shared" si="0"/>
        <v>2387700</v>
      </c>
    </row>
    <row r="12" spans="1:20" ht="15.75" x14ac:dyDescent="0.25">
      <c r="A12" s="10"/>
      <c r="B12" s="200" t="s">
        <v>814</v>
      </c>
      <c r="C12" s="203"/>
      <c r="D12" s="203"/>
      <c r="E12" s="203">
        <f>21500</f>
        <v>21500</v>
      </c>
      <c r="F12" s="203"/>
      <c r="G12" s="203"/>
      <c r="H12" s="203"/>
      <c r="I12" s="203"/>
      <c r="J12" s="203"/>
      <c r="K12" s="203"/>
      <c r="L12" s="203">
        <f>'расчет за вредность'!O108*20%</f>
        <v>860</v>
      </c>
      <c r="M12" s="203"/>
      <c r="N12" s="206">
        <f t="shared" ref="N12:N29" si="1">E12+F12+G12+H12+I12+J12+K12+L12+M12</f>
        <v>22360</v>
      </c>
      <c r="O12" s="448">
        <f>3825</f>
        <v>3825</v>
      </c>
      <c r="P12" s="203"/>
      <c r="Q12" s="206">
        <f>E12</f>
        <v>21500</v>
      </c>
      <c r="R12" s="205">
        <f t="shared" ref="R12:R29" si="2">(N12+O12+P12+Q12)*15%</f>
        <v>7153</v>
      </c>
      <c r="S12" s="412">
        <f t="shared" ref="S12:S29" si="3">N12+O12+P12+Q12+R12</f>
        <v>54838</v>
      </c>
      <c r="T12" s="138">
        <f t="shared" ref="T12:T44" si="4">S12*12</f>
        <v>658056</v>
      </c>
    </row>
    <row r="13" spans="1:20" ht="38.25" x14ac:dyDescent="0.25">
      <c r="A13" s="10"/>
      <c r="B13" s="200" t="s">
        <v>120</v>
      </c>
      <c r="C13" s="203"/>
      <c r="D13" s="203"/>
      <c r="E13" s="203">
        <f>15058</f>
        <v>15058</v>
      </c>
      <c r="F13" s="203"/>
      <c r="G13" s="203"/>
      <c r="H13" s="203">
        <f>6240*12%*20%</f>
        <v>150</v>
      </c>
      <c r="I13" s="203"/>
      <c r="J13" s="203"/>
      <c r="K13" s="203"/>
      <c r="L13" s="203">
        <f>'расчет за вредность'!O109*20%</f>
        <v>590</v>
      </c>
      <c r="M13" s="203"/>
      <c r="N13" s="206">
        <f t="shared" si="1"/>
        <v>15798</v>
      </c>
      <c r="O13" s="448">
        <f>1666.4</f>
        <v>1666</v>
      </c>
      <c r="P13" s="203"/>
      <c r="Q13" s="206">
        <f t="shared" ref="Q13:Q29" si="5">N13*30%-O13-P13</f>
        <v>3073</v>
      </c>
      <c r="R13" s="205">
        <f t="shared" si="2"/>
        <v>3081</v>
      </c>
      <c r="S13" s="412">
        <f t="shared" si="3"/>
        <v>23618</v>
      </c>
      <c r="T13" s="138">
        <f t="shared" si="4"/>
        <v>283416</v>
      </c>
    </row>
    <row r="14" spans="1:20" s="68" customFormat="1" ht="26.25" x14ac:dyDescent="0.25">
      <c r="A14" s="540"/>
      <c r="B14" s="745" t="s">
        <v>721</v>
      </c>
      <c r="C14" s="746">
        <v>1</v>
      </c>
      <c r="D14" s="746"/>
      <c r="E14" s="746">
        <v>544</v>
      </c>
      <c r="F14" s="746"/>
      <c r="G14" s="746"/>
      <c r="H14" s="746"/>
      <c r="I14" s="746"/>
      <c r="J14" s="746"/>
      <c r="K14" s="746"/>
      <c r="L14" s="746"/>
      <c r="M14" s="746"/>
      <c r="N14" s="206">
        <f>E14+F14+G14+H14+I14+J14+K14+L14+M14</f>
        <v>544</v>
      </c>
      <c r="O14" s="738"/>
      <c r="P14" s="746"/>
      <c r="Q14" s="206">
        <f>N14*30%-O14-P14</f>
        <v>163</v>
      </c>
      <c r="R14" s="206">
        <f>(N14+O14+P14+Q14)*15%</f>
        <v>106</v>
      </c>
      <c r="S14" s="739">
        <f>N14+O14+P14+Q14+R14</f>
        <v>813</v>
      </c>
      <c r="T14" s="194">
        <f t="shared" si="4"/>
        <v>9756</v>
      </c>
    </row>
    <row r="15" spans="1:20" s="68" customFormat="1" ht="15.75" x14ac:dyDescent="0.25">
      <c r="A15" s="540"/>
      <c r="B15" s="745" t="s">
        <v>722</v>
      </c>
      <c r="C15" s="746">
        <v>1</v>
      </c>
      <c r="D15" s="746"/>
      <c r="E15" s="746">
        <v>888</v>
      </c>
      <c r="F15" s="746"/>
      <c r="G15" s="746"/>
      <c r="H15" s="746"/>
      <c r="I15" s="746"/>
      <c r="J15" s="746"/>
      <c r="K15" s="746"/>
      <c r="L15" s="746">
        <f>'расчет за вредность'!N20*20%</f>
        <v>36</v>
      </c>
      <c r="M15" s="746"/>
      <c r="N15" s="206">
        <f>E15+F15+G15+H15+I15+J15+K15+L15+M15</f>
        <v>924</v>
      </c>
      <c r="O15" s="738"/>
      <c r="P15" s="746"/>
      <c r="Q15" s="206">
        <f>N15*30%-O15-P15</f>
        <v>277</v>
      </c>
      <c r="R15" s="206">
        <f>(N15+O15+P15+Q15)*15%</f>
        <v>180</v>
      </c>
      <c r="S15" s="739">
        <f>N15+O15+P15+Q15+R15</f>
        <v>1381</v>
      </c>
      <c r="T15" s="194">
        <f t="shared" si="4"/>
        <v>16572</v>
      </c>
    </row>
    <row r="16" spans="1:20" s="68" customFormat="1" ht="26.25" x14ac:dyDescent="0.25">
      <c r="A16" s="540"/>
      <c r="B16" s="745" t="s">
        <v>158</v>
      </c>
      <c r="C16" s="746">
        <v>1</v>
      </c>
      <c r="D16" s="746"/>
      <c r="E16" s="746">
        <v>808</v>
      </c>
      <c r="F16" s="746"/>
      <c r="G16" s="746"/>
      <c r="H16" s="746"/>
      <c r="I16" s="746"/>
      <c r="J16" s="746"/>
      <c r="K16" s="746"/>
      <c r="L16" s="746">
        <f>'расчет за вредность'!N27*20%</f>
        <v>65</v>
      </c>
      <c r="M16" s="746"/>
      <c r="N16" s="206">
        <f>E16+F16+G16+H16+I16+J16+K16+L16+M16</f>
        <v>873</v>
      </c>
      <c r="O16" s="738"/>
      <c r="P16" s="746"/>
      <c r="Q16" s="206">
        <f>N16*30%-O16-P16</f>
        <v>262</v>
      </c>
      <c r="R16" s="206">
        <f>(N16+O16+P16+Q16)*15%</f>
        <v>170</v>
      </c>
      <c r="S16" s="739">
        <f>N16+O16+P16+Q16+R16</f>
        <v>1305</v>
      </c>
      <c r="T16" s="194">
        <f t="shared" si="4"/>
        <v>15660</v>
      </c>
    </row>
    <row r="17" spans="1:20" s="68" customFormat="1" ht="33" customHeight="1" x14ac:dyDescent="0.25">
      <c r="A17" s="540"/>
      <c r="B17" s="736" t="s">
        <v>815</v>
      </c>
      <c r="C17" s="704"/>
      <c r="D17" s="704"/>
      <c r="E17" s="476">
        <f>1340</f>
        <v>1340</v>
      </c>
      <c r="F17" s="737"/>
      <c r="G17" s="737"/>
      <c r="H17" s="737"/>
      <c r="I17" s="737"/>
      <c r="J17" s="737"/>
      <c r="K17" s="737"/>
      <c r="L17" s="476">
        <f>'расчет за вредность'!O110*20%</f>
        <v>54</v>
      </c>
      <c r="M17" s="737"/>
      <c r="N17" s="206">
        <f t="shared" si="1"/>
        <v>1394</v>
      </c>
      <c r="O17" s="738">
        <v>0</v>
      </c>
      <c r="P17" s="737"/>
      <c r="Q17" s="206">
        <f t="shared" si="5"/>
        <v>418</v>
      </c>
      <c r="R17" s="206">
        <f t="shared" si="2"/>
        <v>272</v>
      </c>
      <c r="S17" s="739">
        <f t="shared" si="3"/>
        <v>2084</v>
      </c>
      <c r="T17" s="194">
        <f t="shared" si="4"/>
        <v>25008</v>
      </c>
    </row>
    <row r="18" spans="1:20" s="68" customFormat="1" ht="38.25" x14ac:dyDescent="0.25">
      <c r="A18" s="540"/>
      <c r="B18" s="736" t="s">
        <v>816</v>
      </c>
      <c r="C18" s="704"/>
      <c r="D18" s="704"/>
      <c r="E18" s="476">
        <f>11184</f>
        <v>11184</v>
      </c>
      <c r="F18" s="737"/>
      <c r="G18" s="737"/>
      <c r="H18" s="737"/>
      <c r="I18" s="737"/>
      <c r="J18" s="737"/>
      <c r="K18" s="737"/>
      <c r="L18" s="476">
        <f>'расчет за вредность'!O111*20%</f>
        <v>89</v>
      </c>
      <c r="M18" s="476">
        <f>600*2*20%</f>
        <v>240</v>
      </c>
      <c r="N18" s="206">
        <f t="shared" si="1"/>
        <v>11513</v>
      </c>
      <c r="O18" s="206">
        <v>1431</v>
      </c>
      <c r="P18" s="476"/>
      <c r="Q18" s="206">
        <f t="shared" si="5"/>
        <v>2023</v>
      </c>
      <c r="R18" s="206">
        <f t="shared" si="2"/>
        <v>2245</v>
      </c>
      <c r="S18" s="739">
        <f t="shared" si="3"/>
        <v>17212</v>
      </c>
      <c r="T18" s="194">
        <f t="shared" si="4"/>
        <v>206544</v>
      </c>
    </row>
    <row r="19" spans="1:20" s="68" customFormat="1" x14ac:dyDescent="0.25">
      <c r="A19" s="540"/>
      <c r="B19" s="736" t="s">
        <v>723</v>
      </c>
      <c r="C19" s="704">
        <v>2</v>
      </c>
      <c r="D19" s="704"/>
      <c r="E19" s="476">
        <f>1072*C19</f>
        <v>2144</v>
      </c>
      <c r="F19" s="737"/>
      <c r="G19" s="737"/>
      <c r="H19" s="737"/>
      <c r="I19" s="737"/>
      <c r="J19" s="737"/>
      <c r="K19" s="737"/>
      <c r="L19" s="476"/>
      <c r="M19" s="476">
        <f>600*2*20%</f>
        <v>240</v>
      </c>
      <c r="N19" s="206">
        <f t="shared" si="1"/>
        <v>2384</v>
      </c>
      <c r="O19" s="206">
        <f>214.4*2</f>
        <v>429</v>
      </c>
      <c r="P19" s="476"/>
      <c r="Q19" s="206">
        <f>N19*30%-O19-P19</f>
        <v>286</v>
      </c>
      <c r="R19" s="206">
        <f>(N19+O19+P19+Q19)*15%</f>
        <v>465</v>
      </c>
      <c r="S19" s="739">
        <f>N19+O19+P19+Q19+R19</f>
        <v>3564</v>
      </c>
      <c r="T19" s="194">
        <f t="shared" si="4"/>
        <v>42768</v>
      </c>
    </row>
    <row r="20" spans="1:20" s="68" customFormat="1" x14ac:dyDescent="0.25">
      <c r="A20" s="540"/>
      <c r="B20" s="736" t="s">
        <v>817</v>
      </c>
      <c r="C20" s="704"/>
      <c r="D20" s="704"/>
      <c r="E20" s="476">
        <f>20732</f>
        <v>20732</v>
      </c>
      <c r="F20" s="737"/>
      <c r="G20" s="737"/>
      <c r="H20" s="737"/>
      <c r="I20" s="737"/>
      <c r="J20" s="737"/>
      <c r="K20" s="737"/>
      <c r="L20" s="476">
        <f>'расчет за вредность'!O112*20%</f>
        <v>272</v>
      </c>
      <c r="M20" s="737"/>
      <c r="N20" s="206">
        <f t="shared" si="1"/>
        <v>21004</v>
      </c>
      <c r="O20" s="206">
        <v>0</v>
      </c>
      <c r="P20" s="737"/>
      <c r="Q20" s="206">
        <f t="shared" si="5"/>
        <v>6301</v>
      </c>
      <c r="R20" s="206">
        <f t="shared" si="2"/>
        <v>4096</v>
      </c>
      <c r="S20" s="739">
        <f t="shared" si="3"/>
        <v>31401</v>
      </c>
      <c r="T20" s="194">
        <f t="shared" si="4"/>
        <v>376812</v>
      </c>
    </row>
    <row r="21" spans="1:20" s="68" customFormat="1" ht="25.5" x14ac:dyDescent="0.25">
      <c r="A21" s="540"/>
      <c r="B21" s="736" t="s">
        <v>724</v>
      </c>
      <c r="C21" s="704">
        <v>1</v>
      </c>
      <c r="D21" s="704"/>
      <c r="E21" s="476">
        <v>444</v>
      </c>
      <c r="F21" s="737"/>
      <c r="G21" s="737"/>
      <c r="H21" s="737"/>
      <c r="I21" s="737"/>
      <c r="J21" s="737"/>
      <c r="K21" s="737"/>
      <c r="L21" s="476"/>
      <c r="M21" s="737"/>
      <c r="N21" s="206">
        <f>E21+F21+G21+H21+I21+J21+K21+L21+M21</f>
        <v>444</v>
      </c>
      <c r="O21" s="206">
        <v>1</v>
      </c>
      <c r="P21" s="737"/>
      <c r="Q21" s="206">
        <f>N21*30%-O21-P21</f>
        <v>132</v>
      </c>
      <c r="R21" s="206">
        <f>(N21+O21+P21+Q21)*15%</f>
        <v>87</v>
      </c>
      <c r="S21" s="739">
        <f>N21+O21+P21+Q21+R21</f>
        <v>664</v>
      </c>
      <c r="T21" s="194">
        <f t="shared" si="4"/>
        <v>7968</v>
      </c>
    </row>
    <row r="22" spans="1:20" s="68" customFormat="1" ht="25.5" x14ac:dyDescent="0.25">
      <c r="A22" s="540"/>
      <c r="B22" s="736" t="s">
        <v>159</v>
      </c>
      <c r="C22" s="704">
        <v>1</v>
      </c>
      <c r="D22" s="704"/>
      <c r="E22" s="476">
        <v>668</v>
      </c>
      <c r="F22" s="737"/>
      <c r="G22" s="737"/>
      <c r="H22" s="737"/>
      <c r="I22" s="737"/>
      <c r="J22" s="737"/>
      <c r="K22" s="737"/>
      <c r="L22" s="476"/>
      <c r="M22" s="737"/>
      <c r="N22" s="206">
        <f>E22+F22+G22+H22+I22+J22+K22+L22+M22</f>
        <v>668</v>
      </c>
      <c r="O22" s="206"/>
      <c r="P22" s="737"/>
      <c r="Q22" s="206">
        <f>N22*30%-O22-P22</f>
        <v>200</v>
      </c>
      <c r="R22" s="206">
        <f>(N22+O22+P22+Q22)*15%</f>
        <v>130</v>
      </c>
      <c r="S22" s="739">
        <f>N22+O22+P22+Q22+R22</f>
        <v>998</v>
      </c>
      <c r="T22" s="194">
        <f t="shared" si="4"/>
        <v>11976</v>
      </c>
    </row>
    <row r="23" spans="1:20" s="68" customFormat="1" ht="25.5" x14ac:dyDescent="0.25">
      <c r="A23" s="540"/>
      <c r="B23" s="736" t="s">
        <v>160</v>
      </c>
      <c r="C23" s="704">
        <v>0.5</v>
      </c>
      <c r="D23" s="704"/>
      <c r="E23" s="476">
        <v>246</v>
      </c>
      <c r="F23" s="737"/>
      <c r="G23" s="737"/>
      <c r="H23" s="737"/>
      <c r="I23" s="737"/>
      <c r="J23" s="737"/>
      <c r="K23" s="737"/>
      <c r="L23" s="476"/>
      <c r="M23" s="737"/>
      <c r="N23" s="206">
        <f>E23+F23+G23+H23+I23+J23+K23+L23+M23</f>
        <v>246</v>
      </c>
      <c r="O23" s="206"/>
      <c r="P23" s="737"/>
      <c r="Q23" s="206">
        <f>N23*30%-O23-P23</f>
        <v>74</v>
      </c>
      <c r="R23" s="206">
        <f>(N23+O23+P23+Q23)*15%</f>
        <v>48</v>
      </c>
      <c r="S23" s="739">
        <f>N23+O23+P23+Q23+R23</f>
        <v>368</v>
      </c>
      <c r="T23" s="194">
        <f t="shared" si="4"/>
        <v>4416</v>
      </c>
    </row>
    <row r="24" spans="1:20" s="68" customFormat="1" ht="25.5" x14ac:dyDescent="0.25">
      <c r="A24" s="540"/>
      <c r="B24" s="736" t="s">
        <v>161</v>
      </c>
      <c r="C24" s="704">
        <v>1.5</v>
      </c>
      <c r="D24" s="704"/>
      <c r="E24" s="476">
        <v>816</v>
      </c>
      <c r="F24" s="737"/>
      <c r="G24" s="737"/>
      <c r="H24" s="737"/>
      <c r="I24" s="737"/>
      <c r="J24" s="737"/>
      <c r="K24" s="737"/>
      <c r="L24" s="476"/>
      <c r="M24" s="737"/>
      <c r="N24" s="206">
        <f>E24+F24+G24+H24+I24+J24+K24+L24+M24</f>
        <v>816</v>
      </c>
      <c r="O24" s="206"/>
      <c r="P24" s="737"/>
      <c r="Q24" s="206">
        <f>N24*30%-O24-P24</f>
        <v>245</v>
      </c>
      <c r="R24" s="206">
        <f>(N24+O24+P24+Q24)*15%</f>
        <v>159</v>
      </c>
      <c r="S24" s="739">
        <f>N24+O24+P24+Q24+R24</f>
        <v>1220</v>
      </c>
      <c r="T24" s="194">
        <f t="shared" si="4"/>
        <v>14640</v>
      </c>
    </row>
    <row r="25" spans="1:20" s="68" customFormat="1" x14ac:dyDescent="0.25">
      <c r="A25" s="540"/>
      <c r="B25" s="736" t="s">
        <v>170</v>
      </c>
      <c r="C25" s="704">
        <v>0.5</v>
      </c>
      <c r="D25" s="704"/>
      <c r="E25" s="476">
        <v>334</v>
      </c>
      <c r="F25" s="737"/>
      <c r="G25" s="737"/>
      <c r="H25" s="737"/>
      <c r="I25" s="737"/>
      <c r="J25" s="737"/>
      <c r="K25" s="737"/>
      <c r="L25" s="476"/>
      <c r="M25" s="737"/>
      <c r="N25" s="206">
        <f>E25+F25+G25+H25+I25+J25+K25+L25+M25</f>
        <v>334</v>
      </c>
      <c r="O25" s="206"/>
      <c r="P25" s="737"/>
      <c r="Q25" s="206">
        <f>N25*30%-O25-P25</f>
        <v>100</v>
      </c>
      <c r="R25" s="206">
        <f>(N25+O25+P25+Q25)*15%</f>
        <v>65</v>
      </c>
      <c r="S25" s="739">
        <f>N25+O25+P25+Q25+R25</f>
        <v>499</v>
      </c>
      <c r="T25" s="194">
        <f t="shared" si="4"/>
        <v>5988</v>
      </c>
    </row>
    <row r="26" spans="1:20" s="68" customFormat="1" x14ac:dyDescent="0.25">
      <c r="A26" s="540"/>
      <c r="B26" s="736" t="s">
        <v>818</v>
      </c>
      <c r="C26" s="704"/>
      <c r="D26" s="704"/>
      <c r="E26" s="476">
        <f>1072</f>
        <v>1072</v>
      </c>
      <c r="F26" s="737"/>
      <c r="G26" s="737"/>
      <c r="H26" s="737"/>
      <c r="I26" s="737"/>
      <c r="J26" s="737"/>
      <c r="K26" s="737"/>
      <c r="L26" s="476">
        <f>'расчет за вредность'!O113*20%</f>
        <v>43</v>
      </c>
      <c r="M26" s="737"/>
      <c r="N26" s="206">
        <f t="shared" si="1"/>
        <v>1115</v>
      </c>
      <c r="O26" s="206">
        <v>0</v>
      </c>
      <c r="P26" s="737"/>
      <c r="Q26" s="206">
        <f t="shared" si="5"/>
        <v>335</v>
      </c>
      <c r="R26" s="206">
        <f t="shared" si="2"/>
        <v>218</v>
      </c>
      <c r="S26" s="739">
        <f t="shared" si="3"/>
        <v>1668</v>
      </c>
      <c r="T26" s="194">
        <f t="shared" si="4"/>
        <v>20016</v>
      </c>
    </row>
    <row r="27" spans="1:20" s="68" customFormat="1" x14ac:dyDescent="0.25">
      <c r="A27" s="540"/>
      <c r="B27" s="745" t="s">
        <v>819</v>
      </c>
      <c r="C27" s="704"/>
      <c r="D27" s="704"/>
      <c r="E27" s="476">
        <f>3392</f>
        <v>3392</v>
      </c>
      <c r="F27" s="737"/>
      <c r="G27" s="737"/>
      <c r="H27" s="737"/>
      <c r="I27" s="737"/>
      <c r="J27" s="737"/>
      <c r="K27" s="737"/>
      <c r="L27" s="476">
        <f>'расчет за вредность'!O114*20%</f>
        <v>136</v>
      </c>
      <c r="M27" s="737"/>
      <c r="N27" s="206">
        <f t="shared" si="1"/>
        <v>3528</v>
      </c>
      <c r="O27" s="206">
        <v>0</v>
      </c>
      <c r="P27" s="737"/>
      <c r="Q27" s="206">
        <f t="shared" si="5"/>
        <v>1058</v>
      </c>
      <c r="R27" s="206">
        <f t="shared" si="2"/>
        <v>688</v>
      </c>
      <c r="S27" s="739">
        <f t="shared" si="3"/>
        <v>5274</v>
      </c>
      <c r="T27" s="194">
        <f t="shared" si="4"/>
        <v>63288</v>
      </c>
    </row>
    <row r="28" spans="1:20" s="68" customFormat="1" x14ac:dyDescent="0.25">
      <c r="A28" s="540"/>
      <c r="B28" s="544" t="s">
        <v>733</v>
      </c>
      <c r="C28" s="704"/>
      <c r="D28" s="704"/>
      <c r="E28" s="476">
        <f>20460</f>
        <v>20460</v>
      </c>
      <c r="F28" s="737"/>
      <c r="G28" s="737"/>
      <c r="H28" s="737"/>
      <c r="I28" s="737"/>
      <c r="J28" s="737"/>
      <c r="K28" s="737"/>
      <c r="L28" s="476">
        <f>'расчет за вредность'!O115*20%</f>
        <v>235</v>
      </c>
      <c r="M28" s="476">
        <f>225.14*4*20%</f>
        <v>180</v>
      </c>
      <c r="N28" s="206">
        <f t="shared" si="1"/>
        <v>20875</v>
      </c>
      <c r="O28" s="476">
        <v>0</v>
      </c>
      <c r="P28" s="737"/>
      <c r="Q28" s="206">
        <f t="shared" si="5"/>
        <v>6263</v>
      </c>
      <c r="R28" s="206">
        <f t="shared" si="2"/>
        <v>4071</v>
      </c>
      <c r="S28" s="739">
        <f t="shared" si="3"/>
        <v>31209</v>
      </c>
      <c r="T28" s="194">
        <f t="shared" si="4"/>
        <v>374508</v>
      </c>
    </row>
    <row r="29" spans="1:20" s="68" customFormat="1" x14ac:dyDescent="0.25">
      <c r="A29" s="540"/>
      <c r="B29" s="749" t="s">
        <v>734</v>
      </c>
      <c r="C29" s="750">
        <v>4</v>
      </c>
      <c r="D29" s="750"/>
      <c r="E29" s="624">
        <v>1600</v>
      </c>
      <c r="F29" s="751"/>
      <c r="G29" s="751"/>
      <c r="H29" s="751"/>
      <c r="I29" s="751"/>
      <c r="J29" s="751"/>
      <c r="K29" s="751"/>
      <c r="L29" s="624">
        <f>('расчет за вредность'!N31+'расчет за вредность'!N32+'расчет за вредность'!N33+'расчет за вредность'!N34)*20%</f>
        <v>64</v>
      </c>
      <c r="M29" s="624">
        <f>(225.14*4)*20%</f>
        <v>180</v>
      </c>
      <c r="N29" s="625">
        <f t="shared" si="1"/>
        <v>1844</v>
      </c>
      <c r="O29" s="624">
        <v>0</v>
      </c>
      <c r="P29" s="751"/>
      <c r="Q29" s="625">
        <f t="shared" si="5"/>
        <v>553</v>
      </c>
      <c r="R29" s="625">
        <f t="shared" si="2"/>
        <v>360</v>
      </c>
      <c r="S29" s="752">
        <f t="shared" si="3"/>
        <v>2757</v>
      </c>
      <c r="T29" s="753">
        <f t="shared" si="4"/>
        <v>33084</v>
      </c>
    </row>
    <row r="30" spans="1:20" s="68" customFormat="1" x14ac:dyDescent="0.25">
      <c r="A30" s="540"/>
      <c r="B30" s="749" t="s">
        <v>725</v>
      </c>
      <c r="C30" s="750">
        <v>1</v>
      </c>
      <c r="D30" s="750"/>
      <c r="E30" s="624">
        <v>668</v>
      </c>
      <c r="F30" s="751"/>
      <c r="G30" s="751"/>
      <c r="H30" s="751"/>
      <c r="I30" s="751"/>
      <c r="J30" s="751"/>
      <c r="K30" s="751"/>
      <c r="L30" s="624"/>
      <c r="M30" s="624"/>
      <c r="N30" s="625">
        <f>E30+F30+G30+H30+I30+J30+K30+L30+M30</f>
        <v>668</v>
      </c>
      <c r="O30" s="624">
        <v>1</v>
      </c>
      <c r="P30" s="751"/>
      <c r="Q30" s="625">
        <f>N30*30%-O30-P30</f>
        <v>199</v>
      </c>
      <c r="R30" s="625">
        <f>(N30+O30+P30+Q30)*15%</f>
        <v>130</v>
      </c>
      <c r="S30" s="752">
        <f>N30+O30+P30+Q30+R30</f>
        <v>998</v>
      </c>
      <c r="T30" s="753">
        <f t="shared" si="4"/>
        <v>11976</v>
      </c>
    </row>
    <row r="31" spans="1:20" s="68" customFormat="1" x14ac:dyDescent="0.25">
      <c r="A31" s="540"/>
      <c r="B31" s="749" t="s">
        <v>726</v>
      </c>
      <c r="C31" s="750">
        <v>1</v>
      </c>
      <c r="D31" s="750"/>
      <c r="E31" s="624">
        <f>2720*20%</f>
        <v>544</v>
      </c>
      <c r="F31" s="751"/>
      <c r="G31" s="751"/>
      <c r="H31" s="751"/>
      <c r="I31" s="751"/>
      <c r="J31" s="751"/>
      <c r="K31" s="751"/>
      <c r="L31" s="624"/>
      <c r="M31" s="624"/>
      <c r="N31" s="625">
        <f>E31+F31+G31+H31+I31+J31+K31+L31+M31</f>
        <v>544</v>
      </c>
      <c r="O31" s="624">
        <v>2</v>
      </c>
      <c r="P31" s="751"/>
      <c r="Q31" s="625">
        <f>N31*30%-O31-P31</f>
        <v>161</v>
      </c>
      <c r="R31" s="625">
        <f>(N31+O31+P31+Q31)*15%</f>
        <v>106</v>
      </c>
      <c r="S31" s="752">
        <f>N31+O31+P31+Q31+R31</f>
        <v>813</v>
      </c>
      <c r="T31" s="753">
        <f t="shared" si="4"/>
        <v>9756</v>
      </c>
    </row>
    <row r="32" spans="1:20" s="68" customFormat="1" x14ac:dyDescent="0.25">
      <c r="A32" s="540"/>
      <c r="B32" s="749" t="s">
        <v>727</v>
      </c>
      <c r="C32" s="750">
        <v>1</v>
      </c>
      <c r="D32" s="750"/>
      <c r="E32" s="624">
        <f>2220*20%</f>
        <v>444</v>
      </c>
      <c r="F32" s="751"/>
      <c r="G32" s="751"/>
      <c r="H32" s="751"/>
      <c r="I32" s="751"/>
      <c r="J32" s="751"/>
      <c r="K32" s="751"/>
      <c r="L32" s="624"/>
      <c r="M32" s="624"/>
      <c r="N32" s="625">
        <f>E32+F32+G32+H32+I32+J32+K32+L32+M32</f>
        <v>444</v>
      </c>
      <c r="O32" s="624">
        <v>3</v>
      </c>
      <c r="P32" s="751"/>
      <c r="Q32" s="625">
        <f>N32*30%-O32-P32</f>
        <v>130</v>
      </c>
      <c r="R32" s="625">
        <f>(N32+O32+P32+Q32)*15%</f>
        <v>87</v>
      </c>
      <c r="S32" s="752">
        <f>N32+O32+P32+Q32+R32</f>
        <v>664</v>
      </c>
      <c r="T32" s="753">
        <f t="shared" si="4"/>
        <v>7968</v>
      </c>
    </row>
    <row r="33" spans="1:21" s="68" customFormat="1" x14ac:dyDescent="0.25">
      <c r="A33" s="540"/>
      <c r="B33" s="749" t="s">
        <v>728</v>
      </c>
      <c r="C33" s="750">
        <v>1</v>
      </c>
      <c r="D33" s="750"/>
      <c r="E33" s="624">
        <f>2220*20%</f>
        <v>444</v>
      </c>
      <c r="F33" s="751"/>
      <c r="G33" s="751"/>
      <c r="H33" s="751"/>
      <c r="I33" s="751"/>
      <c r="J33" s="751"/>
      <c r="K33" s="751"/>
      <c r="L33" s="624"/>
      <c r="M33" s="624"/>
      <c r="N33" s="625">
        <f>E33+F33+G33+H33+I33+J33+K33+L33+M33</f>
        <v>444</v>
      </c>
      <c r="O33" s="624">
        <v>4</v>
      </c>
      <c r="P33" s="751"/>
      <c r="Q33" s="625">
        <f>N33*30%-O33-P33</f>
        <v>129</v>
      </c>
      <c r="R33" s="625">
        <f>(N33+O33+P33+Q33)*15%</f>
        <v>87</v>
      </c>
      <c r="S33" s="752">
        <f>N33+O33+P33+Q33+R33</f>
        <v>664</v>
      </c>
      <c r="T33" s="753">
        <f t="shared" si="4"/>
        <v>7968</v>
      </c>
    </row>
    <row r="34" spans="1:21" s="68" customFormat="1" ht="26.25" x14ac:dyDescent="0.25">
      <c r="A34" s="540"/>
      <c r="B34" s="641" t="s">
        <v>729</v>
      </c>
      <c r="C34" s="750">
        <v>4</v>
      </c>
      <c r="D34" s="750"/>
      <c r="E34" s="624">
        <f>2000*20%*C34</f>
        <v>1600</v>
      </c>
      <c r="F34" s="751"/>
      <c r="G34" s="751"/>
      <c r="H34" s="751"/>
      <c r="I34" s="751"/>
      <c r="J34" s="751"/>
      <c r="K34" s="751"/>
      <c r="L34" s="624"/>
      <c r="M34" s="624"/>
      <c r="N34" s="625">
        <f>E34+F34+G34+H34+I34+J34+K34+L34+M34</f>
        <v>1600</v>
      </c>
      <c r="O34" s="624">
        <v>5</v>
      </c>
      <c r="P34" s="751"/>
      <c r="Q34" s="625">
        <f>N34*30%-O34-P34</f>
        <v>475</v>
      </c>
      <c r="R34" s="625">
        <f>(N34+O34+P34+Q34)*15%</f>
        <v>312</v>
      </c>
      <c r="S34" s="752">
        <f>N34+O34+P34+Q34+R34</f>
        <v>2392</v>
      </c>
      <c r="T34" s="753">
        <f t="shared" si="4"/>
        <v>28704</v>
      </c>
    </row>
    <row r="35" spans="1:21" s="68" customFormat="1" x14ac:dyDescent="0.25">
      <c r="A35" s="540"/>
      <c r="B35" s="641" t="s">
        <v>162</v>
      </c>
      <c r="C35" s="750">
        <v>1</v>
      </c>
      <c r="D35" s="750"/>
      <c r="E35" s="624">
        <v>604</v>
      </c>
      <c r="F35" s="751"/>
      <c r="G35" s="751"/>
      <c r="H35" s="751"/>
      <c r="I35" s="751"/>
      <c r="J35" s="751"/>
      <c r="K35" s="751"/>
      <c r="L35" s="624"/>
      <c r="M35" s="624"/>
      <c r="N35" s="625">
        <f t="shared" ref="N35:N44" si="6">E35+F35+G35+H35+I35+J35+K35+L35+M35</f>
        <v>604</v>
      </c>
      <c r="O35" s="624"/>
      <c r="P35" s="751"/>
      <c r="Q35" s="625">
        <f t="shared" ref="Q35:Q44" si="7">N35*30%-O35-P35</f>
        <v>181</v>
      </c>
      <c r="R35" s="625">
        <f t="shared" ref="R35:R44" si="8">(N35+O35+P35+Q35)*15%</f>
        <v>118</v>
      </c>
      <c r="S35" s="752">
        <f t="shared" ref="S35:S44" si="9">N35+O35+P35+Q35+R35</f>
        <v>903</v>
      </c>
      <c r="T35" s="753">
        <f t="shared" si="4"/>
        <v>10836</v>
      </c>
    </row>
    <row r="36" spans="1:21" s="68" customFormat="1" x14ac:dyDescent="0.25">
      <c r="A36" s="540"/>
      <c r="B36" s="641" t="s">
        <v>164</v>
      </c>
      <c r="C36" s="750">
        <v>1</v>
      </c>
      <c r="D36" s="750"/>
      <c r="E36" s="624">
        <v>604</v>
      </c>
      <c r="F36" s="751"/>
      <c r="G36" s="751"/>
      <c r="H36" s="751"/>
      <c r="I36" s="751"/>
      <c r="J36" s="751"/>
      <c r="K36" s="751"/>
      <c r="L36" s="624">
        <f>'расчет за вредность'!N28*20%</f>
        <v>22</v>
      </c>
      <c r="M36" s="624"/>
      <c r="N36" s="625">
        <f t="shared" si="6"/>
        <v>626</v>
      </c>
      <c r="O36" s="624"/>
      <c r="P36" s="751"/>
      <c r="Q36" s="625">
        <f t="shared" si="7"/>
        <v>188</v>
      </c>
      <c r="R36" s="625">
        <f t="shared" si="8"/>
        <v>122</v>
      </c>
      <c r="S36" s="752">
        <f t="shared" si="9"/>
        <v>936</v>
      </c>
      <c r="T36" s="753">
        <f t="shared" si="4"/>
        <v>11232</v>
      </c>
    </row>
    <row r="37" spans="1:21" s="68" customFormat="1" x14ac:dyDescent="0.25">
      <c r="A37" s="540"/>
      <c r="B37" s="641" t="s">
        <v>162</v>
      </c>
      <c r="C37" s="750">
        <v>1</v>
      </c>
      <c r="D37" s="750"/>
      <c r="E37" s="624">
        <v>544</v>
      </c>
      <c r="F37" s="751"/>
      <c r="G37" s="751"/>
      <c r="H37" s="751"/>
      <c r="I37" s="751"/>
      <c r="J37" s="751"/>
      <c r="K37" s="751"/>
      <c r="L37" s="624"/>
      <c r="M37" s="624"/>
      <c r="N37" s="625">
        <f t="shared" si="6"/>
        <v>544</v>
      </c>
      <c r="O37" s="624"/>
      <c r="P37" s="751"/>
      <c r="Q37" s="625">
        <f t="shared" si="7"/>
        <v>163</v>
      </c>
      <c r="R37" s="625">
        <f t="shared" si="8"/>
        <v>106</v>
      </c>
      <c r="S37" s="752">
        <f t="shared" si="9"/>
        <v>813</v>
      </c>
      <c r="T37" s="753">
        <f t="shared" si="4"/>
        <v>9756</v>
      </c>
    </row>
    <row r="38" spans="1:21" s="68" customFormat="1" x14ac:dyDescent="0.25">
      <c r="A38" s="540"/>
      <c r="B38" s="641" t="s">
        <v>162</v>
      </c>
      <c r="C38" s="750">
        <v>1</v>
      </c>
      <c r="D38" s="750"/>
      <c r="E38" s="624">
        <v>492</v>
      </c>
      <c r="F38" s="751"/>
      <c r="G38" s="751"/>
      <c r="H38" s="751"/>
      <c r="I38" s="751"/>
      <c r="J38" s="751"/>
      <c r="K38" s="751"/>
      <c r="L38" s="624"/>
      <c r="M38" s="624"/>
      <c r="N38" s="625">
        <f t="shared" si="6"/>
        <v>492</v>
      </c>
      <c r="O38" s="624"/>
      <c r="P38" s="751"/>
      <c r="Q38" s="625">
        <f t="shared" si="7"/>
        <v>148</v>
      </c>
      <c r="R38" s="625">
        <f t="shared" si="8"/>
        <v>96</v>
      </c>
      <c r="S38" s="752">
        <f t="shared" si="9"/>
        <v>736</v>
      </c>
      <c r="T38" s="753">
        <f t="shared" si="4"/>
        <v>8832</v>
      </c>
    </row>
    <row r="39" spans="1:21" s="68" customFormat="1" x14ac:dyDescent="0.25">
      <c r="A39" s="540"/>
      <c r="B39" s="641" t="s">
        <v>163</v>
      </c>
      <c r="C39" s="750">
        <v>2</v>
      </c>
      <c r="D39" s="750"/>
      <c r="E39" s="624">
        <v>888</v>
      </c>
      <c r="F39" s="751"/>
      <c r="G39" s="751"/>
      <c r="H39" s="751"/>
      <c r="I39" s="751"/>
      <c r="J39" s="751"/>
      <c r="K39" s="751"/>
      <c r="L39" s="624"/>
      <c r="M39" s="624"/>
      <c r="N39" s="625">
        <f t="shared" si="6"/>
        <v>888</v>
      </c>
      <c r="O39" s="624"/>
      <c r="P39" s="751"/>
      <c r="Q39" s="625">
        <f t="shared" si="7"/>
        <v>266</v>
      </c>
      <c r="R39" s="625">
        <f t="shared" si="8"/>
        <v>173</v>
      </c>
      <c r="S39" s="752">
        <f t="shared" si="9"/>
        <v>1327</v>
      </c>
      <c r="T39" s="753">
        <f t="shared" si="4"/>
        <v>15924</v>
      </c>
    </row>
    <row r="40" spans="1:21" s="68" customFormat="1" x14ac:dyDescent="0.25">
      <c r="A40" s="540"/>
      <c r="B40" s="641" t="s">
        <v>165</v>
      </c>
      <c r="C40" s="750">
        <v>1</v>
      </c>
      <c r="D40" s="750"/>
      <c r="E40" s="624">
        <v>444</v>
      </c>
      <c r="F40" s="751"/>
      <c r="G40" s="751"/>
      <c r="H40" s="751"/>
      <c r="I40" s="751"/>
      <c r="J40" s="751"/>
      <c r="K40" s="751"/>
      <c r="L40" s="624"/>
      <c r="M40" s="624"/>
      <c r="N40" s="625">
        <f t="shared" si="6"/>
        <v>444</v>
      </c>
      <c r="O40" s="624"/>
      <c r="P40" s="751"/>
      <c r="Q40" s="625">
        <f t="shared" si="7"/>
        <v>133</v>
      </c>
      <c r="R40" s="625">
        <f t="shared" si="8"/>
        <v>87</v>
      </c>
      <c r="S40" s="752">
        <f t="shared" si="9"/>
        <v>664</v>
      </c>
      <c r="T40" s="753">
        <f t="shared" si="4"/>
        <v>7968</v>
      </c>
    </row>
    <row r="41" spans="1:21" s="68" customFormat="1" x14ac:dyDescent="0.25">
      <c r="A41" s="540"/>
      <c r="B41" s="641" t="s">
        <v>166</v>
      </c>
      <c r="C41" s="750">
        <v>1</v>
      </c>
      <c r="D41" s="750"/>
      <c r="E41" s="624">
        <v>544</v>
      </c>
      <c r="F41" s="751"/>
      <c r="G41" s="751"/>
      <c r="H41" s="751"/>
      <c r="I41" s="751"/>
      <c r="J41" s="751"/>
      <c r="K41" s="751"/>
      <c r="L41" s="624"/>
      <c r="M41" s="624"/>
      <c r="N41" s="625">
        <f t="shared" si="6"/>
        <v>544</v>
      </c>
      <c r="O41" s="624"/>
      <c r="P41" s="751"/>
      <c r="Q41" s="625">
        <f t="shared" si="7"/>
        <v>163</v>
      </c>
      <c r="R41" s="625">
        <f t="shared" si="8"/>
        <v>106</v>
      </c>
      <c r="S41" s="752">
        <f t="shared" si="9"/>
        <v>813</v>
      </c>
      <c r="T41" s="753">
        <f t="shared" si="4"/>
        <v>9756</v>
      </c>
    </row>
    <row r="42" spans="1:21" s="68" customFormat="1" x14ac:dyDescent="0.25">
      <c r="A42" s="540"/>
      <c r="B42" s="641" t="s">
        <v>167</v>
      </c>
      <c r="C42" s="750">
        <v>1</v>
      </c>
      <c r="D42" s="750"/>
      <c r="E42" s="624">
        <v>492</v>
      </c>
      <c r="F42" s="751"/>
      <c r="G42" s="751"/>
      <c r="H42" s="751"/>
      <c r="I42" s="751"/>
      <c r="J42" s="751"/>
      <c r="K42" s="751"/>
      <c r="L42" s="624"/>
      <c r="M42" s="624"/>
      <c r="N42" s="625">
        <f t="shared" si="6"/>
        <v>492</v>
      </c>
      <c r="O42" s="624"/>
      <c r="P42" s="751"/>
      <c r="Q42" s="625">
        <f t="shared" si="7"/>
        <v>148</v>
      </c>
      <c r="R42" s="625">
        <f t="shared" si="8"/>
        <v>96</v>
      </c>
      <c r="S42" s="752">
        <f t="shared" si="9"/>
        <v>736</v>
      </c>
      <c r="T42" s="753">
        <f t="shared" si="4"/>
        <v>8832</v>
      </c>
    </row>
    <row r="43" spans="1:21" s="68" customFormat="1" x14ac:dyDescent="0.25">
      <c r="A43" s="540"/>
      <c r="B43" s="641" t="s">
        <v>168</v>
      </c>
      <c r="C43" s="750">
        <v>1</v>
      </c>
      <c r="D43" s="750"/>
      <c r="E43" s="624">
        <v>400</v>
      </c>
      <c r="F43" s="751"/>
      <c r="G43" s="751"/>
      <c r="H43" s="751"/>
      <c r="I43" s="751"/>
      <c r="J43" s="751"/>
      <c r="K43" s="751"/>
      <c r="L43" s="624"/>
      <c r="M43" s="624"/>
      <c r="N43" s="625">
        <f t="shared" si="6"/>
        <v>400</v>
      </c>
      <c r="O43" s="624"/>
      <c r="P43" s="751"/>
      <c r="Q43" s="625">
        <f t="shared" si="7"/>
        <v>120</v>
      </c>
      <c r="R43" s="625">
        <f t="shared" si="8"/>
        <v>78</v>
      </c>
      <c r="S43" s="752">
        <f t="shared" si="9"/>
        <v>598</v>
      </c>
      <c r="T43" s="753">
        <f t="shared" si="4"/>
        <v>7176</v>
      </c>
    </row>
    <row r="44" spans="1:21" s="68" customFormat="1" ht="26.25" x14ac:dyDescent="0.25">
      <c r="A44" s="540"/>
      <c r="B44" s="641" t="s">
        <v>169</v>
      </c>
      <c r="C44" s="750">
        <v>2</v>
      </c>
      <c r="D44" s="750"/>
      <c r="E44" s="624">
        <f>400*C44</f>
        <v>800</v>
      </c>
      <c r="F44" s="751"/>
      <c r="G44" s="751"/>
      <c r="H44" s="751"/>
      <c r="I44" s="751"/>
      <c r="J44" s="751"/>
      <c r="K44" s="751"/>
      <c r="L44" s="624"/>
      <c r="M44" s="624"/>
      <c r="N44" s="625">
        <f t="shared" si="6"/>
        <v>800</v>
      </c>
      <c r="O44" s="624"/>
      <c r="P44" s="751"/>
      <c r="Q44" s="625">
        <f t="shared" si="7"/>
        <v>240</v>
      </c>
      <c r="R44" s="625">
        <f t="shared" si="8"/>
        <v>156</v>
      </c>
      <c r="S44" s="752">
        <f t="shared" si="9"/>
        <v>1196</v>
      </c>
      <c r="T44" s="753">
        <f t="shared" si="4"/>
        <v>14352</v>
      </c>
    </row>
    <row r="45" spans="1:21" ht="26.25" x14ac:dyDescent="0.25">
      <c r="A45" s="10"/>
      <c r="B45" s="486" t="s">
        <v>219</v>
      </c>
      <c r="C45" s="427"/>
      <c r="D45" s="427"/>
      <c r="E45" s="484">
        <f t="shared" ref="E45:T45" si="10">E12+E13+E17+E18+E20+E26+E27+E28</f>
        <v>94738</v>
      </c>
      <c r="F45" s="484">
        <f t="shared" si="10"/>
        <v>0</v>
      </c>
      <c r="G45" s="484">
        <f t="shared" si="10"/>
        <v>0</v>
      </c>
      <c r="H45" s="484">
        <f t="shared" si="10"/>
        <v>150</v>
      </c>
      <c r="I45" s="484">
        <f t="shared" si="10"/>
        <v>0</v>
      </c>
      <c r="J45" s="484">
        <f t="shared" si="10"/>
        <v>0</v>
      </c>
      <c r="K45" s="484">
        <f t="shared" si="10"/>
        <v>0</v>
      </c>
      <c r="L45" s="484">
        <f t="shared" si="10"/>
        <v>2279</v>
      </c>
      <c r="M45" s="484">
        <f t="shared" si="10"/>
        <v>420</v>
      </c>
      <c r="N45" s="484">
        <f t="shared" si="10"/>
        <v>97587</v>
      </c>
      <c r="O45" s="484">
        <f t="shared" si="10"/>
        <v>6922</v>
      </c>
      <c r="P45" s="484">
        <f t="shared" si="10"/>
        <v>0</v>
      </c>
      <c r="Q45" s="484">
        <f t="shared" si="10"/>
        <v>40971</v>
      </c>
      <c r="R45" s="484">
        <f t="shared" si="10"/>
        <v>21824</v>
      </c>
      <c r="S45" s="484">
        <f t="shared" si="10"/>
        <v>167304</v>
      </c>
      <c r="T45" s="485">
        <f t="shared" si="10"/>
        <v>2007648</v>
      </c>
      <c r="U45" s="730">
        <f>T14+T15+T19+T21+T29+T30+T31+T32+T33+T34</f>
        <v>176520</v>
      </c>
    </row>
    <row r="46" spans="1:21" x14ac:dyDescent="0.25">
      <c r="A46" s="10"/>
      <c r="B46" s="457" t="s">
        <v>820</v>
      </c>
      <c r="C46" s="208"/>
      <c r="D46" s="208"/>
      <c r="E46" s="212">
        <f t="shared" ref="E46:T46" si="11">E11+E45</f>
        <v>192159</v>
      </c>
      <c r="F46" s="212">
        <f t="shared" si="11"/>
        <v>2348</v>
      </c>
      <c r="G46" s="212">
        <f t="shared" si="11"/>
        <v>4769</v>
      </c>
      <c r="H46" s="212">
        <f t="shared" si="11"/>
        <v>4430</v>
      </c>
      <c r="I46" s="212">
        <f t="shared" si="11"/>
        <v>4607</v>
      </c>
      <c r="J46" s="212">
        <f t="shared" si="11"/>
        <v>2997</v>
      </c>
      <c r="K46" s="212">
        <f t="shared" si="11"/>
        <v>14072</v>
      </c>
      <c r="L46" s="212">
        <f t="shared" si="11"/>
        <v>4878</v>
      </c>
      <c r="M46" s="212">
        <f t="shared" si="11"/>
        <v>420</v>
      </c>
      <c r="N46" s="212">
        <f t="shared" si="11"/>
        <v>230680</v>
      </c>
      <c r="O46" s="212">
        <f t="shared" si="11"/>
        <v>20042</v>
      </c>
      <c r="P46" s="212">
        <f t="shared" si="11"/>
        <v>1306</v>
      </c>
      <c r="Q46" s="212">
        <f t="shared" si="11"/>
        <v>66473</v>
      </c>
      <c r="R46" s="212">
        <f t="shared" si="11"/>
        <v>47778</v>
      </c>
      <c r="S46" s="212">
        <f t="shared" si="11"/>
        <v>366279</v>
      </c>
      <c r="T46" s="415">
        <f t="shared" si="11"/>
        <v>4395348</v>
      </c>
      <c r="U46" s="143"/>
    </row>
    <row r="47" spans="1:21" x14ac:dyDescent="0.25">
      <c r="A47" s="10"/>
    </row>
    <row r="48" spans="1:21" x14ac:dyDescent="0.25">
      <c r="A48" s="10"/>
      <c r="O48" s="36" t="s">
        <v>174</v>
      </c>
      <c r="P48" s="53"/>
      <c r="Q48" s="53"/>
      <c r="R48" s="53"/>
      <c r="S48" s="37">
        <f>S14+S15+S19+S21+S29+S30+S31+S32+S33+S34</f>
        <v>14710</v>
      </c>
      <c r="T48" s="37">
        <f>T14+T15+T19+T21+T29+T30+T31+T32+T33+T34</f>
        <v>176520</v>
      </c>
    </row>
    <row r="49" spans="1:22" x14ac:dyDescent="0.25">
      <c r="A49" s="10"/>
      <c r="O49" s="36" t="s">
        <v>175</v>
      </c>
      <c r="P49" s="53"/>
      <c r="Q49" s="53"/>
      <c r="R49" s="53"/>
      <c r="S49" s="37">
        <f>S16+S22+S23+S24+S25+S35+S36+S37+S38+S39+S40+S41+S42+S43+S44</f>
        <v>13112</v>
      </c>
      <c r="T49" s="37">
        <f>T16+T22+T23+T24+T25+T35+T36+T37+T38+T39+T40+T41+T42+T43+T44</f>
        <v>157344</v>
      </c>
    </row>
    <row r="50" spans="1:22" x14ac:dyDescent="0.25">
      <c r="A50" s="10"/>
    </row>
    <row r="51" spans="1:22" x14ac:dyDescent="0.25">
      <c r="A51" s="10"/>
    </row>
    <row r="52" spans="1:22" x14ac:dyDescent="0.25">
      <c r="A52" s="10"/>
      <c r="E52" s="3" t="s">
        <v>822</v>
      </c>
      <c r="P52" s="3" t="s">
        <v>823</v>
      </c>
    </row>
    <row r="53" spans="1:22" x14ac:dyDescent="0.25">
      <c r="A53" s="10"/>
    </row>
    <row r="54" spans="1:22" x14ac:dyDescent="0.25">
      <c r="A54" s="10"/>
      <c r="E54" s="3" t="s">
        <v>824</v>
      </c>
      <c r="P54" s="3" t="s">
        <v>825</v>
      </c>
    </row>
    <row r="55" spans="1:22" x14ac:dyDescent="0.25">
      <c r="E55"/>
      <c r="F55"/>
      <c r="G55"/>
      <c r="H55"/>
      <c r="I55"/>
      <c r="J55"/>
      <c r="K55"/>
      <c r="L55"/>
    </row>
    <row r="56" spans="1:22" x14ac:dyDescent="0.25">
      <c r="E56" s="728">
        <f>E12+E17+E18+E20+E26+E27+E28</f>
        <v>79680</v>
      </c>
      <c r="F56" s="3" t="s">
        <v>636</v>
      </c>
      <c r="H56" s="729">
        <f>H11+H45+'расчет з.п.базового уровня'!H11+'расчет з.п.базового уровня'!H21</f>
        <v>22150</v>
      </c>
      <c r="I56" s="729">
        <f>I9+'расчет з.п.базового уровня'!I11</f>
        <v>23036</v>
      </c>
      <c r="L56" s="413">
        <f>'расчет за вредность'!N109*20%</f>
        <v>4876</v>
      </c>
      <c r="O56" s="3">
        <f>(O9+'расчет з.п.базового уровня'!N9)*12</f>
        <v>707940</v>
      </c>
    </row>
    <row r="58" spans="1:22" x14ac:dyDescent="0.25">
      <c r="E58" s="729"/>
      <c r="U58" s="76"/>
    </row>
    <row r="59" spans="1:22" x14ac:dyDescent="0.25">
      <c r="U59" s="740">
        <v>882600</v>
      </c>
      <c r="V59" s="741" t="s">
        <v>171</v>
      </c>
    </row>
    <row r="60" spans="1:22" x14ac:dyDescent="0.25">
      <c r="E60" s="697"/>
    </row>
    <row r="61" spans="1:22" x14ac:dyDescent="0.25">
      <c r="F61" s="616">
        <f>1219</f>
        <v>1219</v>
      </c>
      <c r="G61" s="616">
        <f>F61/F62*100</f>
        <v>20.86</v>
      </c>
    </row>
    <row r="62" spans="1:22" x14ac:dyDescent="0.25">
      <c r="F62" s="616">
        <f>11686/12*6</f>
        <v>5843</v>
      </c>
      <c r="U62" s="740">
        <f>T14+T15+T19+T21+T29+T30+T31+T32+T33+T34</f>
        <v>176520</v>
      </c>
      <c r="V62" s="741" t="s">
        <v>172</v>
      </c>
    </row>
    <row r="63" spans="1:22" x14ac:dyDescent="0.25">
      <c r="U63" s="740">
        <f>T16+T22+T23+T24+T25+T35+T36+T37+T38+T39+T40+T41+T42+T43+T44</f>
        <v>157344</v>
      </c>
      <c r="V63" s="741" t="s">
        <v>173</v>
      </c>
    </row>
    <row r="65" spans="4:6" x14ac:dyDescent="0.25">
      <c r="D65" s="3" t="s">
        <v>668</v>
      </c>
      <c r="E65" s="3">
        <v>11686</v>
      </c>
      <c r="F65" s="3" t="s">
        <v>307</v>
      </c>
    </row>
    <row r="66" spans="4:6" x14ac:dyDescent="0.25">
      <c r="E66" s="3">
        <v>1219</v>
      </c>
      <c r="F66" s="3" t="s">
        <v>308</v>
      </c>
    </row>
    <row r="68" spans="4:6" x14ac:dyDescent="0.25">
      <c r="E68" s="616">
        <f>11686*G61%</f>
        <v>2437.6999999999998</v>
      </c>
    </row>
    <row r="69" spans="4:6" x14ac:dyDescent="0.25">
      <c r="E69" s="616">
        <f>E68*12/720</f>
        <v>40.630000000000003</v>
      </c>
      <c r="F69" s="3" t="s">
        <v>309</v>
      </c>
    </row>
  </sheetData>
  <mergeCells count="12">
    <mergeCell ref="T5:T7"/>
    <mergeCell ref="O5:Q5"/>
    <mergeCell ref="F5:M5"/>
    <mergeCell ref="B1:S1"/>
    <mergeCell ref="B2:S2"/>
    <mergeCell ref="B3:R3"/>
    <mergeCell ref="B5:B7"/>
    <mergeCell ref="C5:C7"/>
    <mergeCell ref="D5:D7"/>
    <mergeCell ref="N5:N7"/>
    <mergeCell ref="R5:R7"/>
    <mergeCell ref="S5:S7"/>
  </mergeCells>
  <phoneticPr fontId="17" type="noConversion"/>
  <pageMargins left="0.70866141732283472" right="0.70866141732283472" top="0" bottom="0" header="0" footer="0"/>
  <pageSetup paperSize="9" scale="85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opLeftCell="G39" workbookViewId="0">
      <selection sqref="A1:S54"/>
    </sheetView>
  </sheetViews>
  <sheetFormatPr defaultRowHeight="15" x14ac:dyDescent="0.25"/>
  <cols>
    <col min="1" max="1" width="2.42578125" customWidth="1"/>
    <col min="2" max="2" width="23.42578125" style="3" customWidth="1"/>
    <col min="3" max="3" width="3.42578125" style="3" customWidth="1"/>
    <col min="4" max="4" width="4.28515625" style="3" customWidth="1"/>
    <col min="5" max="5" width="9" style="3" customWidth="1"/>
    <col min="6" max="6" width="7.85546875" style="3" customWidth="1"/>
    <col min="7" max="7" width="8.140625" style="3" customWidth="1"/>
    <col min="8" max="8" width="6.42578125" style="3" customWidth="1"/>
    <col min="9" max="9" width="5.7109375" style="3" customWidth="1"/>
    <col min="10" max="10" width="7.85546875" style="3" customWidth="1"/>
    <col min="11" max="11" width="6" style="3" customWidth="1"/>
    <col min="12" max="12" width="4.7109375" style="3" customWidth="1"/>
    <col min="13" max="13" width="8.85546875" style="3" customWidth="1"/>
    <col min="14" max="14" width="7.5703125" style="3" customWidth="1"/>
    <col min="15" max="16" width="6.7109375" style="3" customWidth="1"/>
    <col min="17" max="17" width="6.85546875" style="3" customWidth="1"/>
    <col min="18" max="18" width="7.5703125" style="3" customWidth="1"/>
    <col min="19" max="19" width="8.42578125" style="3" customWidth="1"/>
    <col min="20" max="20" width="9.42578125" bestFit="1" customWidth="1"/>
  </cols>
  <sheetData>
    <row r="1" spans="1:21" x14ac:dyDescent="0.25">
      <c r="A1" s="10"/>
      <c r="B1" s="851" t="s">
        <v>305</v>
      </c>
      <c r="C1" s="851"/>
      <c r="D1" s="851"/>
      <c r="E1" s="851"/>
      <c r="F1" s="851"/>
      <c r="G1" s="851"/>
      <c r="H1" s="851"/>
      <c r="I1" s="851"/>
      <c r="J1" s="851"/>
      <c r="K1" s="851"/>
      <c r="L1" s="851"/>
      <c r="M1" s="851"/>
      <c r="N1" s="851"/>
      <c r="O1" s="851"/>
      <c r="P1" s="851"/>
      <c r="Q1" s="851"/>
      <c r="R1" s="851"/>
    </row>
    <row r="2" spans="1:21" x14ac:dyDescent="0.25">
      <c r="A2" s="10"/>
      <c r="B2" s="852" t="s">
        <v>222</v>
      </c>
      <c r="C2" s="852"/>
      <c r="D2" s="852"/>
      <c r="E2" s="852"/>
      <c r="F2" s="852"/>
      <c r="G2" s="852"/>
      <c r="H2" s="852"/>
      <c r="I2" s="852"/>
      <c r="J2" s="852"/>
      <c r="K2" s="852"/>
      <c r="L2" s="852"/>
      <c r="M2" s="852"/>
      <c r="N2" s="852"/>
      <c r="O2" s="852"/>
      <c r="P2" s="852"/>
      <c r="Q2" s="852"/>
      <c r="R2" s="852"/>
    </row>
    <row r="3" spans="1:21" x14ac:dyDescent="0.25">
      <c r="A3" s="10"/>
      <c r="B3" s="853" t="s">
        <v>684</v>
      </c>
      <c r="C3" s="853"/>
      <c r="D3" s="853"/>
      <c r="E3" s="853"/>
      <c r="F3" s="853"/>
      <c r="G3" s="853"/>
      <c r="H3" s="853"/>
      <c r="I3" s="853"/>
      <c r="J3" s="853"/>
      <c r="K3" s="853"/>
      <c r="L3" s="853"/>
      <c r="M3" s="853"/>
      <c r="N3" s="853"/>
      <c r="O3" s="853"/>
      <c r="P3" s="853"/>
      <c r="Q3" s="853"/>
      <c r="R3" s="3" t="s">
        <v>685</v>
      </c>
    </row>
    <row r="4" spans="1:21" x14ac:dyDescent="0.25">
      <c r="A4" s="10"/>
      <c r="F4" s="201"/>
      <c r="G4" s="201"/>
      <c r="H4" s="201"/>
      <c r="I4" s="201"/>
    </row>
    <row r="5" spans="1:21" ht="33.75" customHeight="1" x14ac:dyDescent="0.25">
      <c r="A5" s="10"/>
      <c r="B5" s="854"/>
      <c r="C5" s="855" t="s">
        <v>686</v>
      </c>
      <c r="D5" s="855" t="s">
        <v>687</v>
      </c>
      <c r="E5" s="207" t="s">
        <v>688</v>
      </c>
      <c r="F5" s="848" t="s">
        <v>297</v>
      </c>
      <c r="G5" s="849"/>
      <c r="H5" s="849"/>
      <c r="I5" s="849"/>
      <c r="J5" s="849"/>
      <c r="K5" s="849"/>
      <c r="L5" s="850"/>
      <c r="M5" s="858" t="s">
        <v>689</v>
      </c>
      <c r="N5" s="845" t="s">
        <v>218</v>
      </c>
      <c r="O5" s="846"/>
      <c r="P5" s="847"/>
      <c r="Q5" s="854" t="s">
        <v>690</v>
      </c>
      <c r="R5" s="844" t="s">
        <v>118</v>
      </c>
      <c r="S5" s="844" t="s">
        <v>119</v>
      </c>
    </row>
    <row r="6" spans="1:21" ht="89.25" customHeight="1" x14ac:dyDescent="0.25">
      <c r="A6" s="10"/>
      <c r="B6" s="854"/>
      <c r="C6" s="856"/>
      <c r="D6" s="856"/>
      <c r="E6" s="478" t="s">
        <v>296</v>
      </c>
      <c r="F6" s="479" t="s">
        <v>292</v>
      </c>
      <c r="G6" s="479" t="s">
        <v>291</v>
      </c>
      <c r="H6" s="479" t="s">
        <v>293</v>
      </c>
      <c r="I6" s="479" t="s">
        <v>294</v>
      </c>
      <c r="J6" s="480" t="s">
        <v>295</v>
      </c>
      <c r="K6" s="481" t="s">
        <v>302</v>
      </c>
      <c r="L6" s="481" t="s">
        <v>303</v>
      </c>
      <c r="M6" s="858"/>
      <c r="N6" s="477" t="s">
        <v>813</v>
      </c>
      <c r="O6" s="414" t="s">
        <v>300</v>
      </c>
      <c r="P6" s="414" t="s">
        <v>301</v>
      </c>
      <c r="Q6" s="854"/>
      <c r="R6" s="844"/>
      <c r="S6" s="844"/>
    </row>
    <row r="7" spans="1:21" ht="81.75" customHeight="1" x14ac:dyDescent="0.25">
      <c r="A7" s="10"/>
      <c r="B7" s="854"/>
      <c r="C7" s="857"/>
      <c r="D7" s="857"/>
      <c r="E7" s="451" t="s">
        <v>126</v>
      </c>
      <c r="F7" s="452" t="s">
        <v>127</v>
      </c>
      <c r="G7" s="452" t="s">
        <v>128</v>
      </c>
      <c r="H7" s="452" t="s">
        <v>129</v>
      </c>
      <c r="I7" s="452" t="s">
        <v>130</v>
      </c>
      <c r="J7" s="453" t="s">
        <v>131</v>
      </c>
      <c r="K7" s="454"/>
      <c r="L7" s="454"/>
      <c r="M7" s="858"/>
      <c r="N7" s="174"/>
      <c r="O7" s="174"/>
      <c r="P7" s="174"/>
      <c r="Q7" s="854"/>
      <c r="R7" s="844"/>
      <c r="S7" s="844"/>
    </row>
    <row r="8" spans="1:21" x14ac:dyDescent="0.25">
      <c r="A8" s="10"/>
      <c r="B8" s="200">
        <v>1</v>
      </c>
      <c r="C8" s="200"/>
      <c r="D8" s="200"/>
      <c r="E8" s="200">
        <v>2</v>
      </c>
      <c r="F8" s="200">
        <v>3</v>
      </c>
      <c r="G8" s="200">
        <v>4</v>
      </c>
      <c r="H8" s="200">
        <v>5</v>
      </c>
      <c r="I8" s="200">
        <v>6</v>
      </c>
      <c r="J8" s="664">
        <v>7</v>
      </c>
      <c r="K8" s="664">
        <v>9</v>
      </c>
      <c r="L8" s="664">
        <v>10</v>
      </c>
      <c r="M8" s="200">
        <v>11</v>
      </c>
      <c r="N8" s="200">
        <v>12</v>
      </c>
      <c r="O8" s="200">
        <v>13</v>
      </c>
      <c r="P8" s="200">
        <v>14</v>
      </c>
      <c r="Q8" s="200">
        <v>15</v>
      </c>
      <c r="R8" s="200">
        <v>16</v>
      </c>
      <c r="S8" s="208">
        <v>17</v>
      </c>
    </row>
    <row r="9" spans="1:21" ht="27.75" customHeight="1" x14ac:dyDescent="0.25">
      <c r="A9" s="10"/>
      <c r="B9" s="204" t="s">
        <v>864</v>
      </c>
      <c r="C9" s="200"/>
      <c r="D9" s="200"/>
      <c r="E9" s="114">
        <f>5780/720*48602</f>
        <v>390166.06</v>
      </c>
      <c r="F9" s="114">
        <f>5780*E69%</f>
        <v>8230.7199999999993</v>
      </c>
      <c r="G9" s="205">
        <f>16900.75</f>
        <v>16901</v>
      </c>
      <c r="H9" s="205">
        <f>((5780*29+5360*2)*12%)*80%</f>
        <v>17121</v>
      </c>
      <c r="I9" s="205">
        <f>((5780*19+5360)*20%)*80%</f>
        <v>18429</v>
      </c>
      <c r="J9" s="206">
        <f>((5780*4)*30%+(5780)*20%+(5780*11)*10%+(5360)*10%)*80%</f>
        <v>11989</v>
      </c>
      <c r="K9" s="206">
        <f>'расчет за вредность'!O117*80%</f>
        <v>10067</v>
      </c>
      <c r="L9" s="206"/>
      <c r="M9" s="206">
        <f>E9+F9+G9+H9+I9+J9+K9+L9</f>
        <v>472904</v>
      </c>
      <c r="N9" s="206">
        <f>12758.72</f>
        <v>12759</v>
      </c>
      <c r="O9" s="211">
        <v>1306</v>
      </c>
      <c r="P9" s="206">
        <f>M9*30%-N9-O9</f>
        <v>127806</v>
      </c>
      <c r="Q9" s="205">
        <f>(M9+N9+O9+P9)*15%</f>
        <v>92216</v>
      </c>
      <c r="R9" s="412">
        <f>M9+N9+O9+P9+Q9</f>
        <v>706991</v>
      </c>
      <c r="S9" s="138">
        <f>R9*12</f>
        <v>8483892</v>
      </c>
      <c r="T9">
        <f>'расчет з.п.базового уровня'!S9</f>
        <v>8483892</v>
      </c>
      <c r="U9">
        <f>T9-S9</f>
        <v>0</v>
      </c>
    </row>
    <row r="10" spans="1:21" ht="17.25" customHeight="1" x14ac:dyDescent="0.25">
      <c r="A10" s="10"/>
      <c r="B10" s="204" t="s">
        <v>121</v>
      </c>
      <c r="C10" s="202"/>
      <c r="D10" s="202"/>
      <c r="E10" s="114">
        <f>14432</f>
        <v>14432</v>
      </c>
      <c r="F10" s="205"/>
      <c r="G10" s="205"/>
      <c r="H10" s="205"/>
      <c r="I10" s="205"/>
      <c r="J10" s="455"/>
      <c r="K10" s="211">
        <f>'расчет за вредность'!O116*80%</f>
        <v>328</v>
      </c>
      <c r="L10" s="483"/>
      <c r="M10" s="206">
        <f>E10+F10+G10+H10+I10+J10+K10+L10</f>
        <v>14760</v>
      </c>
      <c r="N10" s="206">
        <v>1443</v>
      </c>
      <c r="O10" s="206"/>
      <c r="P10" s="206">
        <f>M10*30%-N10-O10</f>
        <v>2985</v>
      </c>
      <c r="Q10" s="205">
        <f>(M10+N10+O10+P10)*15%</f>
        <v>2878</v>
      </c>
      <c r="R10" s="412">
        <f>M10+N10+O10+P10+Q10</f>
        <v>22066</v>
      </c>
      <c r="S10" s="138">
        <f>R10*12</f>
        <v>264792</v>
      </c>
    </row>
    <row r="11" spans="1:21" ht="24.75" customHeight="1" x14ac:dyDescent="0.25">
      <c r="A11" s="10"/>
      <c r="B11" s="417" t="s">
        <v>122</v>
      </c>
      <c r="C11" s="421"/>
      <c r="D11" s="421"/>
      <c r="E11" s="418">
        <f t="shared" ref="E11:S11" si="0">E9+E10</f>
        <v>404598</v>
      </c>
      <c r="F11" s="418">
        <f t="shared" si="0"/>
        <v>8231</v>
      </c>
      <c r="G11" s="418">
        <f t="shared" si="0"/>
        <v>16901</v>
      </c>
      <c r="H11" s="418">
        <f t="shared" si="0"/>
        <v>17121</v>
      </c>
      <c r="I11" s="418">
        <f t="shared" si="0"/>
        <v>18429</v>
      </c>
      <c r="J11" s="418">
        <f t="shared" si="0"/>
        <v>11989</v>
      </c>
      <c r="K11" s="418">
        <f t="shared" si="0"/>
        <v>10395</v>
      </c>
      <c r="L11" s="418">
        <f t="shared" si="0"/>
        <v>0</v>
      </c>
      <c r="M11" s="418">
        <f t="shared" si="0"/>
        <v>487664</v>
      </c>
      <c r="N11" s="418">
        <f t="shared" si="0"/>
        <v>14202</v>
      </c>
      <c r="O11" s="418">
        <f t="shared" si="0"/>
        <v>1306</v>
      </c>
      <c r="P11" s="418">
        <f t="shared" si="0"/>
        <v>130791</v>
      </c>
      <c r="Q11" s="418">
        <f t="shared" si="0"/>
        <v>95094</v>
      </c>
      <c r="R11" s="418">
        <f t="shared" si="0"/>
        <v>729057</v>
      </c>
      <c r="S11" s="419">
        <f t="shared" si="0"/>
        <v>8748684</v>
      </c>
    </row>
    <row r="12" spans="1:21" ht="15.75" x14ac:dyDescent="0.25">
      <c r="A12" s="10"/>
      <c r="B12" s="200" t="s">
        <v>814</v>
      </c>
      <c r="C12" s="203"/>
      <c r="D12" s="203"/>
      <c r="E12" s="205">
        <f>86000</f>
        <v>86000</v>
      </c>
      <c r="F12" s="203"/>
      <c r="G12" s="203"/>
      <c r="H12" s="203"/>
      <c r="I12" s="203"/>
      <c r="J12" s="203"/>
      <c r="K12" s="203">
        <f>'расчет за вредность'!O108*80%</f>
        <v>3440</v>
      </c>
      <c r="L12" s="203"/>
      <c r="M12" s="206">
        <f t="shared" ref="M12:M24" si="1">E12+F12+G12+H12+I12+J12+K12+L12</f>
        <v>89440</v>
      </c>
      <c r="N12" s="448">
        <v>15300</v>
      </c>
      <c r="O12" s="203"/>
      <c r="P12" s="206">
        <f>E12</f>
        <v>86000</v>
      </c>
      <c r="Q12" s="205">
        <f t="shared" ref="Q12:Q44" si="2">(M12+N12+O12+P12)*15%</f>
        <v>28611</v>
      </c>
      <c r="R12" s="412">
        <f t="shared" ref="R12:R44" si="3">M12+N12+O12+P12+Q12</f>
        <v>219351</v>
      </c>
      <c r="S12" s="138">
        <f t="shared" ref="S12:S44" si="4">R12*12</f>
        <v>2632212</v>
      </c>
    </row>
    <row r="13" spans="1:21" ht="38.25" x14ac:dyDescent="0.25">
      <c r="A13" s="10"/>
      <c r="B13" s="200" t="s">
        <v>120</v>
      </c>
      <c r="C13" s="203"/>
      <c r="D13" s="203"/>
      <c r="E13" s="205">
        <f>60232</f>
        <v>60232</v>
      </c>
      <c r="F13" s="203"/>
      <c r="G13" s="203"/>
      <c r="H13" s="203">
        <f>6240*12%*80%</f>
        <v>599</v>
      </c>
      <c r="I13" s="203"/>
      <c r="J13" s="203"/>
      <c r="K13" s="203">
        <f>'расчет за вредность'!O109*80%</f>
        <v>2359</v>
      </c>
      <c r="L13" s="203"/>
      <c r="M13" s="206">
        <f t="shared" si="1"/>
        <v>63190</v>
      </c>
      <c r="N13" s="448">
        <v>6666</v>
      </c>
      <c r="O13" s="203"/>
      <c r="P13" s="206">
        <f t="shared" ref="P13:P44" si="5">M13*30%-N13-O13</f>
        <v>12291</v>
      </c>
      <c r="Q13" s="205">
        <f t="shared" si="2"/>
        <v>12322</v>
      </c>
      <c r="R13" s="412">
        <f t="shared" si="3"/>
        <v>94469</v>
      </c>
      <c r="S13" s="138">
        <f t="shared" si="4"/>
        <v>1133628</v>
      </c>
    </row>
    <row r="14" spans="1:21" s="68" customFormat="1" ht="26.25" x14ac:dyDescent="0.25">
      <c r="A14" s="540"/>
      <c r="B14" s="745" t="s">
        <v>721</v>
      </c>
      <c r="C14" s="746">
        <v>1</v>
      </c>
      <c r="D14" s="746"/>
      <c r="E14" s="746">
        <v>2176</v>
      </c>
      <c r="F14" s="746"/>
      <c r="G14" s="746"/>
      <c r="H14" s="746"/>
      <c r="I14" s="746"/>
      <c r="J14" s="746"/>
      <c r="K14" s="746"/>
      <c r="L14" s="746"/>
      <c r="M14" s="206">
        <f t="shared" si="1"/>
        <v>2176</v>
      </c>
      <c r="N14" s="738"/>
      <c r="O14" s="746"/>
      <c r="P14" s="206">
        <f t="shared" si="5"/>
        <v>653</v>
      </c>
      <c r="Q14" s="206">
        <f t="shared" si="2"/>
        <v>424</v>
      </c>
      <c r="R14" s="739">
        <f t="shared" si="3"/>
        <v>3253</v>
      </c>
      <c r="S14" s="194">
        <f t="shared" si="4"/>
        <v>39036</v>
      </c>
    </row>
    <row r="15" spans="1:21" s="68" customFormat="1" ht="15.75" x14ac:dyDescent="0.25">
      <c r="A15" s="540"/>
      <c r="B15" s="745" t="s">
        <v>722</v>
      </c>
      <c r="C15" s="746">
        <v>1</v>
      </c>
      <c r="D15" s="746"/>
      <c r="E15" s="746">
        <v>3552</v>
      </c>
      <c r="F15" s="746"/>
      <c r="G15" s="746"/>
      <c r="H15" s="746"/>
      <c r="I15" s="746"/>
      <c r="J15" s="746"/>
      <c r="K15" s="746">
        <f>'расчет за вредность'!N20*80%</f>
        <v>142</v>
      </c>
      <c r="L15" s="746"/>
      <c r="M15" s="206">
        <f t="shared" si="1"/>
        <v>3694</v>
      </c>
      <c r="N15" s="738"/>
      <c r="O15" s="746"/>
      <c r="P15" s="206">
        <f t="shared" si="5"/>
        <v>1108</v>
      </c>
      <c r="Q15" s="206">
        <f t="shared" si="2"/>
        <v>720</v>
      </c>
      <c r="R15" s="739">
        <f t="shared" si="3"/>
        <v>5522</v>
      </c>
      <c r="S15" s="194">
        <f t="shared" si="4"/>
        <v>66264</v>
      </c>
    </row>
    <row r="16" spans="1:21" s="68" customFormat="1" ht="26.25" x14ac:dyDescent="0.25">
      <c r="A16" s="540"/>
      <c r="B16" s="745" t="s">
        <v>158</v>
      </c>
      <c r="C16" s="746">
        <v>1</v>
      </c>
      <c r="D16" s="746"/>
      <c r="E16" s="746">
        <v>3232</v>
      </c>
      <c r="F16" s="746"/>
      <c r="G16" s="746"/>
      <c r="H16" s="746"/>
      <c r="I16" s="746"/>
      <c r="J16" s="746"/>
      <c r="K16" s="746">
        <f>'расчет за вредность'!N27*80%</f>
        <v>259</v>
      </c>
      <c r="L16" s="746"/>
      <c r="M16" s="206">
        <f t="shared" si="1"/>
        <v>3491</v>
      </c>
      <c r="N16" s="738"/>
      <c r="O16" s="746"/>
      <c r="P16" s="206">
        <f t="shared" si="5"/>
        <v>1047</v>
      </c>
      <c r="Q16" s="206">
        <f t="shared" si="2"/>
        <v>681</v>
      </c>
      <c r="R16" s="739">
        <f t="shared" si="3"/>
        <v>5219</v>
      </c>
      <c r="S16" s="194">
        <f t="shared" si="4"/>
        <v>62628</v>
      </c>
    </row>
    <row r="17" spans="1:20" s="68" customFormat="1" ht="26.25" customHeight="1" x14ac:dyDescent="0.25">
      <c r="A17" s="540"/>
      <c r="B17" s="745" t="s">
        <v>815</v>
      </c>
      <c r="C17" s="704"/>
      <c r="D17" s="704"/>
      <c r="E17" s="206">
        <v>5360</v>
      </c>
      <c r="F17" s="737"/>
      <c r="G17" s="737"/>
      <c r="H17" s="737"/>
      <c r="I17" s="737"/>
      <c r="J17" s="737"/>
      <c r="K17" s="476">
        <f>'расчет за вредность'!O110*80%</f>
        <v>214</v>
      </c>
      <c r="L17" s="737"/>
      <c r="M17" s="206">
        <f t="shared" si="1"/>
        <v>5574</v>
      </c>
      <c r="N17" s="738">
        <v>0</v>
      </c>
      <c r="O17" s="737"/>
      <c r="P17" s="206">
        <f t="shared" si="5"/>
        <v>1672</v>
      </c>
      <c r="Q17" s="206">
        <f t="shared" si="2"/>
        <v>1087</v>
      </c>
      <c r="R17" s="739">
        <f t="shared" si="3"/>
        <v>8333</v>
      </c>
      <c r="S17" s="194">
        <f t="shared" si="4"/>
        <v>99996</v>
      </c>
    </row>
    <row r="18" spans="1:20" s="68" customFormat="1" ht="38.25" x14ac:dyDescent="0.25">
      <c r="A18" s="540"/>
      <c r="B18" s="736" t="s">
        <v>816</v>
      </c>
      <c r="C18" s="704"/>
      <c r="D18" s="704"/>
      <c r="E18" s="206">
        <v>44736</v>
      </c>
      <c r="F18" s="737"/>
      <c r="G18" s="737"/>
      <c r="H18" s="737"/>
      <c r="I18" s="737"/>
      <c r="J18" s="737"/>
      <c r="K18" s="476">
        <f>'расчет за вредность'!O111*80%</f>
        <v>356</v>
      </c>
      <c r="L18" s="476">
        <f>600*2*80%</f>
        <v>960</v>
      </c>
      <c r="M18" s="206">
        <f t="shared" si="1"/>
        <v>46052</v>
      </c>
      <c r="N18" s="738">
        <v>5726</v>
      </c>
      <c r="O18" s="476"/>
      <c r="P18" s="206">
        <f t="shared" si="5"/>
        <v>8090</v>
      </c>
      <c r="Q18" s="206">
        <f t="shared" si="2"/>
        <v>8980</v>
      </c>
      <c r="R18" s="739">
        <f t="shared" si="3"/>
        <v>68848</v>
      </c>
      <c r="S18" s="194">
        <f t="shared" si="4"/>
        <v>826176</v>
      </c>
    </row>
    <row r="19" spans="1:20" s="68" customFormat="1" x14ac:dyDescent="0.25">
      <c r="A19" s="540"/>
      <c r="B19" s="736" t="s">
        <v>723</v>
      </c>
      <c r="C19" s="704">
        <v>2</v>
      </c>
      <c r="D19" s="704"/>
      <c r="E19" s="476">
        <f>4288*C19</f>
        <v>8576</v>
      </c>
      <c r="F19" s="737"/>
      <c r="G19" s="737"/>
      <c r="H19" s="737"/>
      <c r="I19" s="737"/>
      <c r="J19" s="737"/>
      <c r="K19" s="476"/>
      <c r="L19" s="476">
        <f>600*2*80%</f>
        <v>960</v>
      </c>
      <c r="M19" s="206">
        <f t="shared" si="1"/>
        <v>9536</v>
      </c>
      <c r="N19" s="206">
        <f>857.6*2</f>
        <v>1715</v>
      </c>
      <c r="O19" s="476"/>
      <c r="P19" s="206">
        <f t="shared" si="5"/>
        <v>1146</v>
      </c>
      <c r="Q19" s="206">
        <f t="shared" si="2"/>
        <v>1860</v>
      </c>
      <c r="R19" s="739">
        <f t="shared" si="3"/>
        <v>14257</v>
      </c>
      <c r="S19" s="194">
        <f t="shared" si="4"/>
        <v>171084</v>
      </c>
      <c r="T19" s="68">
        <f>S19+'расчет з.п.повышенного уров (2)'!T19</f>
        <v>213852</v>
      </c>
    </row>
    <row r="20" spans="1:20" s="68" customFormat="1" x14ac:dyDescent="0.25">
      <c r="A20" s="540"/>
      <c r="B20" s="736" t="s">
        <v>817</v>
      </c>
      <c r="C20" s="704"/>
      <c r="D20" s="704"/>
      <c r="E20" s="747">
        <v>82928</v>
      </c>
      <c r="F20" s="737"/>
      <c r="G20" s="737"/>
      <c r="H20" s="737"/>
      <c r="I20" s="737"/>
      <c r="J20" s="737"/>
      <c r="K20" s="476">
        <f>'расчет за вредность'!O112*80%</f>
        <v>1086</v>
      </c>
      <c r="L20" s="737"/>
      <c r="M20" s="206">
        <f t="shared" si="1"/>
        <v>84014</v>
      </c>
      <c r="N20" s="206">
        <v>0</v>
      </c>
      <c r="O20" s="737"/>
      <c r="P20" s="206">
        <f t="shared" si="5"/>
        <v>25204</v>
      </c>
      <c r="Q20" s="206">
        <f t="shared" si="2"/>
        <v>16383</v>
      </c>
      <c r="R20" s="739">
        <f t="shared" si="3"/>
        <v>125601</v>
      </c>
      <c r="S20" s="194">
        <f t="shared" si="4"/>
        <v>1507212</v>
      </c>
      <c r="T20" s="754">
        <f>T19*30.2%</f>
        <v>64583</v>
      </c>
    </row>
    <row r="21" spans="1:20" s="68" customFormat="1" ht="25.5" x14ac:dyDescent="0.25">
      <c r="A21" s="540"/>
      <c r="B21" s="736" t="s">
        <v>724</v>
      </c>
      <c r="C21" s="704">
        <v>1</v>
      </c>
      <c r="D21" s="704"/>
      <c r="E21" s="476">
        <v>1776</v>
      </c>
      <c r="F21" s="737"/>
      <c r="G21" s="737"/>
      <c r="H21" s="737"/>
      <c r="I21" s="737"/>
      <c r="J21" s="737"/>
      <c r="K21" s="476"/>
      <c r="L21" s="737"/>
      <c r="M21" s="206">
        <f t="shared" si="1"/>
        <v>1776</v>
      </c>
      <c r="N21" s="206">
        <v>1</v>
      </c>
      <c r="O21" s="737"/>
      <c r="P21" s="206">
        <f t="shared" si="5"/>
        <v>532</v>
      </c>
      <c r="Q21" s="206">
        <f t="shared" si="2"/>
        <v>346</v>
      </c>
      <c r="R21" s="739">
        <f t="shared" si="3"/>
        <v>2655</v>
      </c>
      <c r="S21" s="194">
        <f t="shared" si="4"/>
        <v>31860</v>
      </c>
    </row>
    <row r="22" spans="1:20" s="68" customFormat="1" ht="25.5" x14ac:dyDescent="0.25">
      <c r="A22" s="540"/>
      <c r="B22" s="736" t="s">
        <v>159</v>
      </c>
      <c r="C22" s="704">
        <v>1</v>
      </c>
      <c r="D22" s="704"/>
      <c r="E22" s="476">
        <v>2672</v>
      </c>
      <c r="F22" s="737"/>
      <c r="G22" s="737"/>
      <c r="H22" s="737"/>
      <c r="I22" s="737"/>
      <c r="J22" s="737"/>
      <c r="K22" s="476"/>
      <c r="L22" s="737"/>
      <c r="M22" s="206">
        <f t="shared" si="1"/>
        <v>2672</v>
      </c>
      <c r="N22" s="206"/>
      <c r="O22" s="737"/>
      <c r="P22" s="206">
        <f t="shared" si="5"/>
        <v>802</v>
      </c>
      <c r="Q22" s="206">
        <f t="shared" si="2"/>
        <v>521</v>
      </c>
      <c r="R22" s="739">
        <f t="shared" si="3"/>
        <v>3995</v>
      </c>
      <c r="S22" s="194">
        <f t="shared" si="4"/>
        <v>47940</v>
      </c>
    </row>
    <row r="23" spans="1:20" s="68" customFormat="1" ht="25.5" x14ac:dyDescent="0.25">
      <c r="A23" s="540"/>
      <c r="B23" s="736" t="s">
        <v>160</v>
      </c>
      <c r="C23" s="704">
        <v>0.5</v>
      </c>
      <c r="D23" s="704"/>
      <c r="E23" s="476">
        <v>984</v>
      </c>
      <c r="F23" s="737"/>
      <c r="G23" s="737"/>
      <c r="H23" s="737"/>
      <c r="I23" s="737"/>
      <c r="J23" s="737"/>
      <c r="K23" s="476"/>
      <c r="L23" s="737"/>
      <c r="M23" s="206">
        <f t="shared" si="1"/>
        <v>984</v>
      </c>
      <c r="N23" s="206"/>
      <c r="O23" s="737"/>
      <c r="P23" s="206">
        <f t="shared" si="5"/>
        <v>295</v>
      </c>
      <c r="Q23" s="206">
        <f t="shared" si="2"/>
        <v>192</v>
      </c>
      <c r="R23" s="739">
        <f t="shared" si="3"/>
        <v>1471</v>
      </c>
      <c r="S23" s="194">
        <f t="shared" si="4"/>
        <v>17652</v>
      </c>
    </row>
    <row r="24" spans="1:20" s="68" customFormat="1" ht="25.5" x14ac:dyDescent="0.25">
      <c r="A24" s="540"/>
      <c r="B24" s="736" t="s">
        <v>161</v>
      </c>
      <c r="C24" s="704">
        <v>1.5</v>
      </c>
      <c r="D24" s="704"/>
      <c r="E24" s="476">
        <v>3264</v>
      </c>
      <c r="F24" s="737"/>
      <c r="G24" s="737"/>
      <c r="H24" s="737"/>
      <c r="I24" s="737"/>
      <c r="J24" s="737"/>
      <c r="K24" s="476"/>
      <c r="L24" s="737"/>
      <c r="M24" s="206">
        <f t="shared" si="1"/>
        <v>3264</v>
      </c>
      <c r="N24" s="206"/>
      <c r="O24" s="737"/>
      <c r="P24" s="206">
        <f t="shared" si="5"/>
        <v>979</v>
      </c>
      <c r="Q24" s="206">
        <f t="shared" si="2"/>
        <v>636</v>
      </c>
      <c r="R24" s="739">
        <f t="shared" si="3"/>
        <v>4879</v>
      </c>
      <c r="S24" s="194">
        <f t="shared" si="4"/>
        <v>58548</v>
      </c>
    </row>
    <row r="25" spans="1:20" s="68" customFormat="1" x14ac:dyDescent="0.25">
      <c r="A25" s="540"/>
      <c r="B25" s="736" t="s">
        <v>170</v>
      </c>
      <c r="C25" s="704">
        <v>0.5</v>
      </c>
      <c r="D25" s="704"/>
      <c r="E25" s="476">
        <v>1336</v>
      </c>
      <c r="F25" s="737"/>
      <c r="G25" s="737"/>
      <c r="H25" s="737"/>
      <c r="I25" s="737"/>
      <c r="J25" s="737"/>
      <c r="K25" s="476"/>
      <c r="L25" s="737"/>
      <c r="M25" s="206">
        <f t="shared" ref="M25:M44" si="6">E25+F25+G25+H25+I25+J25+K25+L25</f>
        <v>1336</v>
      </c>
      <c r="N25" s="206"/>
      <c r="O25" s="737"/>
      <c r="P25" s="206">
        <f t="shared" si="5"/>
        <v>401</v>
      </c>
      <c r="Q25" s="206">
        <f t="shared" si="2"/>
        <v>261</v>
      </c>
      <c r="R25" s="739">
        <f t="shared" si="3"/>
        <v>1998</v>
      </c>
      <c r="S25" s="194">
        <f t="shared" si="4"/>
        <v>23976</v>
      </c>
    </row>
    <row r="26" spans="1:20" s="68" customFormat="1" x14ac:dyDescent="0.25">
      <c r="A26" s="540"/>
      <c r="B26" s="736" t="s">
        <v>818</v>
      </c>
      <c r="C26" s="704"/>
      <c r="D26" s="704"/>
      <c r="E26" s="747">
        <v>4288</v>
      </c>
      <c r="F26" s="737"/>
      <c r="G26" s="737">
        <v>534</v>
      </c>
      <c r="H26" s="737"/>
      <c r="I26" s="737"/>
      <c r="J26" s="737"/>
      <c r="K26" s="476">
        <f>'расчет за вредность'!O113*80%</f>
        <v>172</v>
      </c>
      <c r="L26" s="737"/>
      <c r="M26" s="206">
        <f t="shared" si="6"/>
        <v>4994</v>
      </c>
      <c r="N26" s="206">
        <v>0</v>
      </c>
      <c r="O26" s="737"/>
      <c r="P26" s="206">
        <f t="shared" si="5"/>
        <v>1498</v>
      </c>
      <c r="Q26" s="206">
        <f t="shared" si="2"/>
        <v>974</v>
      </c>
      <c r="R26" s="739">
        <f t="shared" si="3"/>
        <v>7466</v>
      </c>
      <c r="S26" s="194">
        <f t="shared" si="4"/>
        <v>89592</v>
      </c>
    </row>
    <row r="27" spans="1:20" s="68" customFormat="1" x14ac:dyDescent="0.25">
      <c r="A27" s="540"/>
      <c r="B27" s="745" t="s">
        <v>819</v>
      </c>
      <c r="C27" s="704"/>
      <c r="D27" s="704"/>
      <c r="E27" s="748">
        <v>13568</v>
      </c>
      <c r="F27" s="737"/>
      <c r="G27" s="737"/>
      <c r="H27" s="737"/>
      <c r="I27" s="737"/>
      <c r="J27" s="737"/>
      <c r="K27" s="476">
        <f>'расчет за вредность'!O114*80%</f>
        <v>543</v>
      </c>
      <c r="L27" s="737"/>
      <c r="M27" s="206">
        <f t="shared" si="6"/>
        <v>14111</v>
      </c>
      <c r="N27" s="206">
        <v>0</v>
      </c>
      <c r="O27" s="737"/>
      <c r="P27" s="206">
        <f t="shared" si="5"/>
        <v>4233</v>
      </c>
      <c r="Q27" s="206">
        <f t="shared" si="2"/>
        <v>2752</v>
      </c>
      <c r="R27" s="739">
        <f t="shared" si="3"/>
        <v>21096</v>
      </c>
      <c r="S27" s="194">
        <f t="shared" si="4"/>
        <v>253152</v>
      </c>
    </row>
    <row r="28" spans="1:20" s="68" customFormat="1" x14ac:dyDescent="0.25">
      <c r="A28" s="540"/>
      <c r="B28" s="544" t="s">
        <v>733</v>
      </c>
      <c r="C28" s="704"/>
      <c r="D28" s="704"/>
      <c r="E28" s="748">
        <v>81840</v>
      </c>
      <c r="F28" s="737"/>
      <c r="G28" s="737"/>
      <c r="H28" s="737"/>
      <c r="I28" s="737"/>
      <c r="J28" s="737"/>
      <c r="K28" s="476">
        <f>'расчет за вредность'!O115*80%</f>
        <v>940</v>
      </c>
      <c r="L28" s="476">
        <f>225.14*4*80%</f>
        <v>720</v>
      </c>
      <c r="M28" s="206">
        <f t="shared" si="6"/>
        <v>83500</v>
      </c>
      <c r="N28" s="476">
        <v>0</v>
      </c>
      <c r="O28" s="737"/>
      <c r="P28" s="206">
        <f t="shared" si="5"/>
        <v>25050</v>
      </c>
      <c r="Q28" s="206">
        <f t="shared" si="2"/>
        <v>16283</v>
      </c>
      <c r="R28" s="739">
        <f t="shared" si="3"/>
        <v>124833</v>
      </c>
      <c r="S28" s="194">
        <f t="shared" si="4"/>
        <v>1497996</v>
      </c>
    </row>
    <row r="29" spans="1:20" s="68" customFormat="1" x14ac:dyDescent="0.25">
      <c r="A29" s="540"/>
      <c r="B29" s="749" t="s">
        <v>734</v>
      </c>
      <c r="C29" s="750">
        <v>4</v>
      </c>
      <c r="D29" s="750"/>
      <c r="E29" s="624">
        <v>6400</v>
      </c>
      <c r="F29" s="751"/>
      <c r="G29" s="751"/>
      <c r="H29" s="751"/>
      <c r="I29" s="751"/>
      <c r="J29" s="751"/>
      <c r="K29" s="624">
        <f>('расчет за вредность'!N31+'расчет за вредность'!N32+'расчет за вредность'!N33+'расчет за вредность'!N34)*80%</f>
        <v>256</v>
      </c>
      <c r="L29" s="624">
        <f>(225.14*4)*80%</f>
        <v>720</v>
      </c>
      <c r="M29" s="206">
        <f t="shared" si="6"/>
        <v>7376</v>
      </c>
      <c r="N29" s="624">
        <v>0</v>
      </c>
      <c r="O29" s="751"/>
      <c r="P29" s="625">
        <f t="shared" si="5"/>
        <v>2213</v>
      </c>
      <c r="Q29" s="625">
        <f t="shared" si="2"/>
        <v>1438</v>
      </c>
      <c r="R29" s="752">
        <f t="shared" si="3"/>
        <v>11027</v>
      </c>
      <c r="S29" s="753">
        <f t="shared" si="4"/>
        <v>132324</v>
      </c>
    </row>
    <row r="30" spans="1:20" s="68" customFormat="1" x14ac:dyDescent="0.25">
      <c r="A30" s="540"/>
      <c r="B30" s="749" t="s">
        <v>725</v>
      </c>
      <c r="C30" s="750">
        <v>1</v>
      </c>
      <c r="D30" s="750"/>
      <c r="E30" s="624">
        <v>2672</v>
      </c>
      <c r="F30" s="751"/>
      <c r="G30" s="751"/>
      <c r="H30" s="751"/>
      <c r="I30" s="751"/>
      <c r="J30" s="751"/>
      <c r="K30" s="624"/>
      <c r="L30" s="624"/>
      <c r="M30" s="206">
        <f t="shared" si="6"/>
        <v>2672</v>
      </c>
      <c r="N30" s="624">
        <v>1</v>
      </c>
      <c r="O30" s="751"/>
      <c r="P30" s="625">
        <f t="shared" si="5"/>
        <v>801</v>
      </c>
      <c r="Q30" s="625">
        <f t="shared" si="2"/>
        <v>521</v>
      </c>
      <c r="R30" s="752">
        <f t="shared" si="3"/>
        <v>3995</v>
      </c>
      <c r="S30" s="753">
        <f t="shared" si="4"/>
        <v>47940</v>
      </c>
    </row>
    <row r="31" spans="1:20" s="68" customFormat="1" x14ac:dyDescent="0.25">
      <c r="A31" s="540"/>
      <c r="B31" s="749" t="s">
        <v>726</v>
      </c>
      <c r="C31" s="750">
        <v>1</v>
      </c>
      <c r="D31" s="750"/>
      <c r="E31" s="624">
        <v>2176</v>
      </c>
      <c r="F31" s="751"/>
      <c r="G31" s="751"/>
      <c r="H31" s="751"/>
      <c r="I31" s="751"/>
      <c r="J31" s="751"/>
      <c r="K31" s="624"/>
      <c r="L31" s="624"/>
      <c r="M31" s="206">
        <f t="shared" si="6"/>
        <v>2176</v>
      </c>
      <c r="N31" s="624">
        <v>2</v>
      </c>
      <c r="O31" s="751"/>
      <c r="P31" s="625">
        <f t="shared" si="5"/>
        <v>651</v>
      </c>
      <c r="Q31" s="625">
        <f t="shared" si="2"/>
        <v>424</v>
      </c>
      <c r="R31" s="752">
        <f t="shared" si="3"/>
        <v>3253</v>
      </c>
      <c r="S31" s="753">
        <f t="shared" si="4"/>
        <v>39036</v>
      </c>
    </row>
    <row r="32" spans="1:20" s="68" customFormat="1" x14ac:dyDescent="0.25">
      <c r="A32" s="540"/>
      <c r="B32" s="749" t="s">
        <v>727</v>
      </c>
      <c r="C32" s="750">
        <v>1</v>
      </c>
      <c r="D32" s="750"/>
      <c r="E32" s="624">
        <v>1776</v>
      </c>
      <c r="F32" s="751"/>
      <c r="G32" s="751"/>
      <c r="H32" s="751"/>
      <c r="I32" s="751"/>
      <c r="J32" s="751"/>
      <c r="K32" s="624"/>
      <c r="L32" s="624"/>
      <c r="M32" s="206">
        <f t="shared" si="6"/>
        <v>1776</v>
      </c>
      <c r="N32" s="624">
        <v>3</v>
      </c>
      <c r="O32" s="751"/>
      <c r="P32" s="625">
        <f t="shared" si="5"/>
        <v>530</v>
      </c>
      <c r="Q32" s="625">
        <f t="shared" si="2"/>
        <v>346</v>
      </c>
      <c r="R32" s="752">
        <f t="shared" si="3"/>
        <v>2655</v>
      </c>
      <c r="S32" s="753">
        <f t="shared" si="4"/>
        <v>31860</v>
      </c>
    </row>
    <row r="33" spans="1:20" s="68" customFormat="1" x14ac:dyDescent="0.25">
      <c r="A33" s="540"/>
      <c r="B33" s="749" t="s">
        <v>728</v>
      </c>
      <c r="C33" s="750">
        <v>1</v>
      </c>
      <c r="D33" s="750"/>
      <c r="E33" s="624">
        <v>1776</v>
      </c>
      <c r="F33" s="751"/>
      <c r="G33" s="751"/>
      <c r="H33" s="751"/>
      <c r="I33" s="751"/>
      <c r="J33" s="751"/>
      <c r="K33" s="624"/>
      <c r="L33" s="624"/>
      <c r="M33" s="206">
        <f t="shared" si="6"/>
        <v>1776</v>
      </c>
      <c r="N33" s="624">
        <v>4</v>
      </c>
      <c r="O33" s="751"/>
      <c r="P33" s="625">
        <f t="shared" si="5"/>
        <v>529</v>
      </c>
      <c r="Q33" s="625">
        <f t="shared" si="2"/>
        <v>346</v>
      </c>
      <c r="R33" s="752">
        <f t="shared" si="3"/>
        <v>2655</v>
      </c>
      <c r="S33" s="753">
        <f t="shared" si="4"/>
        <v>31860</v>
      </c>
    </row>
    <row r="34" spans="1:20" s="68" customFormat="1" ht="26.25" x14ac:dyDescent="0.25">
      <c r="A34" s="540"/>
      <c r="B34" s="641" t="s">
        <v>729</v>
      </c>
      <c r="C34" s="750">
        <v>4</v>
      </c>
      <c r="D34" s="750"/>
      <c r="E34" s="624">
        <f>2000*80%*C34</f>
        <v>6400</v>
      </c>
      <c r="F34" s="751"/>
      <c r="G34" s="751"/>
      <c r="H34" s="751"/>
      <c r="I34" s="751"/>
      <c r="J34" s="751"/>
      <c r="K34" s="624"/>
      <c r="L34" s="624"/>
      <c r="M34" s="206">
        <f t="shared" si="6"/>
        <v>6400</v>
      </c>
      <c r="N34" s="624">
        <v>5</v>
      </c>
      <c r="O34" s="751"/>
      <c r="P34" s="625">
        <f t="shared" si="5"/>
        <v>1915</v>
      </c>
      <c r="Q34" s="625">
        <f t="shared" si="2"/>
        <v>1248</v>
      </c>
      <c r="R34" s="752">
        <f t="shared" si="3"/>
        <v>9568</v>
      </c>
      <c r="S34" s="753">
        <f t="shared" si="4"/>
        <v>114816</v>
      </c>
    </row>
    <row r="35" spans="1:20" s="68" customFormat="1" x14ac:dyDescent="0.25">
      <c r="A35" s="540"/>
      <c r="B35" s="641" t="s">
        <v>162</v>
      </c>
      <c r="C35" s="750">
        <v>1</v>
      </c>
      <c r="D35" s="750"/>
      <c r="E35" s="624">
        <v>2416</v>
      </c>
      <c r="F35" s="751"/>
      <c r="G35" s="751"/>
      <c r="H35" s="751"/>
      <c r="I35" s="751"/>
      <c r="J35" s="751"/>
      <c r="K35" s="624"/>
      <c r="L35" s="624"/>
      <c r="M35" s="206">
        <f t="shared" si="6"/>
        <v>2416</v>
      </c>
      <c r="N35" s="624"/>
      <c r="O35" s="751"/>
      <c r="P35" s="625">
        <f t="shared" si="5"/>
        <v>725</v>
      </c>
      <c r="Q35" s="625">
        <f t="shared" si="2"/>
        <v>471</v>
      </c>
      <c r="R35" s="752">
        <f t="shared" si="3"/>
        <v>3612</v>
      </c>
      <c r="S35" s="753">
        <f t="shared" si="4"/>
        <v>43344</v>
      </c>
    </row>
    <row r="36" spans="1:20" s="68" customFormat="1" x14ac:dyDescent="0.25">
      <c r="A36" s="540"/>
      <c r="B36" s="641" t="s">
        <v>164</v>
      </c>
      <c r="C36" s="750">
        <v>1</v>
      </c>
      <c r="D36" s="750"/>
      <c r="E36" s="624">
        <v>2416</v>
      </c>
      <c r="F36" s="751"/>
      <c r="G36" s="751"/>
      <c r="H36" s="751"/>
      <c r="I36" s="751"/>
      <c r="J36" s="751"/>
      <c r="K36" s="624">
        <f>'расчет за вредность'!N28*80%</f>
        <v>87</v>
      </c>
      <c r="L36" s="624"/>
      <c r="M36" s="206">
        <f t="shared" si="6"/>
        <v>2503</v>
      </c>
      <c r="N36" s="624"/>
      <c r="O36" s="751"/>
      <c r="P36" s="625">
        <f t="shared" si="5"/>
        <v>751</v>
      </c>
      <c r="Q36" s="625">
        <f t="shared" si="2"/>
        <v>488</v>
      </c>
      <c r="R36" s="752">
        <f t="shared" si="3"/>
        <v>3742</v>
      </c>
      <c r="S36" s="753">
        <f t="shared" si="4"/>
        <v>44904</v>
      </c>
    </row>
    <row r="37" spans="1:20" s="68" customFormat="1" x14ac:dyDescent="0.25">
      <c r="A37" s="540"/>
      <c r="B37" s="641" t="s">
        <v>162</v>
      </c>
      <c r="C37" s="750">
        <v>1</v>
      </c>
      <c r="D37" s="750"/>
      <c r="E37" s="624">
        <v>2176</v>
      </c>
      <c r="F37" s="751"/>
      <c r="G37" s="751"/>
      <c r="H37" s="751"/>
      <c r="I37" s="751"/>
      <c r="J37" s="751"/>
      <c r="K37" s="624"/>
      <c r="L37" s="624"/>
      <c r="M37" s="206">
        <f t="shared" si="6"/>
        <v>2176</v>
      </c>
      <c r="N37" s="624"/>
      <c r="O37" s="751"/>
      <c r="P37" s="625">
        <f t="shared" si="5"/>
        <v>653</v>
      </c>
      <c r="Q37" s="625">
        <f t="shared" si="2"/>
        <v>424</v>
      </c>
      <c r="R37" s="752">
        <f t="shared" si="3"/>
        <v>3253</v>
      </c>
      <c r="S37" s="753">
        <f t="shared" si="4"/>
        <v>39036</v>
      </c>
    </row>
    <row r="38" spans="1:20" s="68" customFormat="1" x14ac:dyDescent="0.25">
      <c r="A38" s="540"/>
      <c r="B38" s="641" t="s">
        <v>162</v>
      </c>
      <c r="C38" s="750">
        <v>1</v>
      </c>
      <c r="D38" s="750"/>
      <c r="E38" s="624">
        <v>1968</v>
      </c>
      <c r="F38" s="751"/>
      <c r="G38" s="751"/>
      <c r="H38" s="751"/>
      <c r="I38" s="751"/>
      <c r="J38" s="751"/>
      <c r="K38" s="624"/>
      <c r="L38" s="624"/>
      <c r="M38" s="206">
        <f t="shared" si="6"/>
        <v>1968</v>
      </c>
      <c r="N38" s="624"/>
      <c r="O38" s="751"/>
      <c r="P38" s="625">
        <f t="shared" si="5"/>
        <v>590</v>
      </c>
      <c r="Q38" s="625">
        <f t="shared" si="2"/>
        <v>384</v>
      </c>
      <c r="R38" s="752">
        <f t="shared" si="3"/>
        <v>2942</v>
      </c>
      <c r="S38" s="753">
        <f t="shared" si="4"/>
        <v>35304</v>
      </c>
    </row>
    <row r="39" spans="1:20" s="68" customFormat="1" x14ac:dyDescent="0.25">
      <c r="A39" s="540"/>
      <c r="B39" s="641" t="s">
        <v>163</v>
      </c>
      <c r="C39" s="750">
        <v>2</v>
      </c>
      <c r="D39" s="750"/>
      <c r="E39" s="624">
        <v>3552</v>
      </c>
      <c r="F39" s="751"/>
      <c r="G39" s="751"/>
      <c r="H39" s="751"/>
      <c r="I39" s="751"/>
      <c r="J39" s="751"/>
      <c r="K39" s="624"/>
      <c r="L39" s="624"/>
      <c r="M39" s="206">
        <f t="shared" si="6"/>
        <v>3552</v>
      </c>
      <c r="N39" s="624"/>
      <c r="O39" s="751"/>
      <c r="P39" s="625">
        <f t="shared" si="5"/>
        <v>1066</v>
      </c>
      <c r="Q39" s="625">
        <f t="shared" si="2"/>
        <v>693</v>
      </c>
      <c r="R39" s="752">
        <f t="shared" si="3"/>
        <v>5311</v>
      </c>
      <c r="S39" s="753">
        <f t="shared" si="4"/>
        <v>63732</v>
      </c>
    </row>
    <row r="40" spans="1:20" s="68" customFormat="1" x14ac:dyDescent="0.25">
      <c r="A40" s="540"/>
      <c r="B40" s="641" t="s">
        <v>165</v>
      </c>
      <c r="C40" s="750">
        <v>1</v>
      </c>
      <c r="D40" s="750"/>
      <c r="E40" s="624">
        <v>1776</v>
      </c>
      <c r="F40" s="751"/>
      <c r="G40" s="751"/>
      <c r="H40" s="751"/>
      <c r="I40" s="751"/>
      <c r="J40" s="751"/>
      <c r="K40" s="624"/>
      <c r="L40" s="624"/>
      <c r="M40" s="206">
        <f t="shared" si="6"/>
        <v>1776</v>
      </c>
      <c r="N40" s="624"/>
      <c r="O40" s="751"/>
      <c r="P40" s="625">
        <f t="shared" si="5"/>
        <v>533</v>
      </c>
      <c r="Q40" s="625">
        <f t="shared" si="2"/>
        <v>346</v>
      </c>
      <c r="R40" s="752">
        <f t="shared" si="3"/>
        <v>2655</v>
      </c>
      <c r="S40" s="753">
        <f t="shared" si="4"/>
        <v>31860</v>
      </c>
    </row>
    <row r="41" spans="1:20" s="68" customFormat="1" x14ac:dyDescent="0.25">
      <c r="A41" s="540"/>
      <c r="B41" s="641" t="s">
        <v>166</v>
      </c>
      <c r="C41" s="750">
        <v>1</v>
      </c>
      <c r="D41" s="750"/>
      <c r="E41" s="624">
        <v>2176</v>
      </c>
      <c r="F41" s="751"/>
      <c r="G41" s="751"/>
      <c r="H41" s="751"/>
      <c r="I41" s="751"/>
      <c r="J41" s="751"/>
      <c r="K41" s="624"/>
      <c r="L41" s="624"/>
      <c r="M41" s="206">
        <f t="shared" si="6"/>
        <v>2176</v>
      </c>
      <c r="N41" s="624"/>
      <c r="O41" s="751"/>
      <c r="P41" s="625">
        <f t="shared" si="5"/>
        <v>653</v>
      </c>
      <c r="Q41" s="625">
        <f t="shared" si="2"/>
        <v>424</v>
      </c>
      <c r="R41" s="752">
        <f t="shared" si="3"/>
        <v>3253</v>
      </c>
      <c r="S41" s="753">
        <f t="shared" si="4"/>
        <v>39036</v>
      </c>
    </row>
    <row r="42" spans="1:20" s="68" customFormat="1" x14ac:dyDescent="0.25">
      <c r="A42" s="540"/>
      <c r="B42" s="641" t="s">
        <v>167</v>
      </c>
      <c r="C42" s="750">
        <v>1</v>
      </c>
      <c r="D42" s="750"/>
      <c r="E42" s="624">
        <v>1968</v>
      </c>
      <c r="F42" s="751"/>
      <c r="G42" s="751"/>
      <c r="H42" s="751"/>
      <c r="I42" s="751"/>
      <c r="J42" s="751"/>
      <c r="K42" s="624"/>
      <c r="L42" s="624"/>
      <c r="M42" s="206">
        <f t="shared" si="6"/>
        <v>1968</v>
      </c>
      <c r="N42" s="624"/>
      <c r="O42" s="751"/>
      <c r="P42" s="625">
        <f t="shared" si="5"/>
        <v>590</v>
      </c>
      <c r="Q42" s="625">
        <f t="shared" si="2"/>
        <v>384</v>
      </c>
      <c r="R42" s="752">
        <f t="shared" si="3"/>
        <v>2942</v>
      </c>
      <c r="S42" s="753">
        <f t="shared" si="4"/>
        <v>35304</v>
      </c>
    </row>
    <row r="43" spans="1:20" s="68" customFormat="1" x14ac:dyDescent="0.25">
      <c r="A43" s="540"/>
      <c r="B43" s="641" t="s">
        <v>168</v>
      </c>
      <c r="C43" s="750">
        <v>1</v>
      </c>
      <c r="D43" s="750"/>
      <c r="E43" s="624">
        <v>1600</v>
      </c>
      <c r="F43" s="751"/>
      <c r="G43" s="751"/>
      <c r="H43" s="751"/>
      <c r="I43" s="751"/>
      <c r="J43" s="751"/>
      <c r="K43" s="624"/>
      <c r="L43" s="624"/>
      <c r="M43" s="206">
        <f t="shared" si="6"/>
        <v>1600</v>
      </c>
      <c r="N43" s="624"/>
      <c r="O43" s="751"/>
      <c r="P43" s="625">
        <f t="shared" si="5"/>
        <v>480</v>
      </c>
      <c r="Q43" s="625">
        <f t="shared" si="2"/>
        <v>312</v>
      </c>
      <c r="R43" s="752">
        <f t="shared" si="3"/>
        <v>2392</v>
      </c>
      <c r="S43" s="753">
        <f t="shared" si="4"/>
        <v>28704</v>
      </c>
    </row>
    <row r="44" spans="1:20" s="68" customFormat="1" ht="26.25" x14ac:dyDescent="0.25">
      <c r="A44" s="540"/>
      <c r="B44" s="641" t="s">
        <v>169</v>
      </c>
      <c r="C44" s="750">
        <v>2</v>
      </c>
      <c r="D44" s="750"/>
      <c r="E44" s="624">
        <f>2000*80%*C44</f>
        <v>3200</v>
      </c>
      <c r="F44" s="751"/>
      <c r="G44" s="751"/>
      <c r="H44" s="751"/>
      <c r="I44" s="751"/>
      <c r="J44" s="751"/>
      <c r="K44" s="624"/>
      <c r="L44" s="624"/>
      <c r="M44" s="206">
        <f t="shared" si="6"/>
        <v>3200</v>
      </c>
      <c r="N44" s="624"/>
      <c r="O44" s="751"/>
      <c r="P44" s="625">
        <f t="shared" si="5"/>
        <v>960</v>
      </c>
      <c r="Q44" s="625">
        <f t="shared" si="2"/>
        <v>624</v>
      </c>
      <c r="R44" s="752">
        <f t="shared" si="3"/>
        <v>4784</v>
      </c>
      <c r="S44" s="753">
        <f t="shared" si="4"/>
        <v>57408</v>
      </c>
    </row>
    <row r="45" spans="1:20" ht="26.25" x14ac:dyDescent="0.25">
      <c r="A45" s="10"/>
      <c r="B45" s="486" t="s">
        <v>219</v>
      </c>
      <c r="C45" s="427"/>
      <c r="D45" s="427"/>
      <c r="E45" s="484">
        <f t="shared" ref="E45:S45" si="7">E12+E13+E17+E18+E20+E26+E27+E28</f>
        <v>378952</v>
      </c>
      <c r="F45" s="484">
        <f t="shared" si="7"/>
        <v>0</v>
      </c>
      <c r="G45" s="484">
        <f t="shared" si="7"/>
        <v>534</v>
      </c>
      <c r="H45" s="484">
        <f t="shared" si="7"/>
        <v>599</v>
      </c>
      <c r="I45" s="484">
        <f t="shared" si="7"/>
        <v>0</v>
      </c>
      <c r="J45" s="484">
        <f t="shared" si="7"/>
        <v>0</v>
      </c>
      <c r="K45" s="484">
        <f t="shared" si="7"/>
        <v>9110</v>
      </c>
      <c r="L45" s="484">
        <f t="shared" si="7"/>
        <v>1680</v>
      </c>
      <c r="M45" s="484">
        <f t="shared" si="7"/>
        <v>390875</v>
      </c>
      <c r="N45" s="484">
        <f t="shared" si="7"/>
        <v>27692</v>
      </c>
      <c r="O45" s="484">
        <f t="shared" si="7"/>
        <v>0</v>
      </c>
      <c r="P45" s="484">
        <f t="shared" si="7"/>
        <v>164038</v>
      </c>
      <c r="Q45" s="484">
        <f t="shared" si="7"/>
        <v>87392</v>
      </c>
      <c r="R45" s="484">
        <f t="shared" si="7"/>
        <v>669997</v>
      </c>
      <c r="S45" s="485">
        <f t="shared" si="7"/>
        <v>8039964</v>
      </c>
      <c r="T45" s="730">
        <f>S14+S15+S19+S21+S29+S30+S31+S32+S33+S34</f>
        <v>706080</v>
      </c>
    </row>
    <row r="46" spans="1:20" x14ac:dyDescent="0.25">
      <c r="A46" s="10"/>
      <c r="B46" s="457" t="s">
        <v>820</v>
      </c>
      <c r="C46" s="208"/>
      <c r="D46" s="208"/>
      <c r="E46" s="212">
        <f t="shared" ref="E46:S46" si="8">E11+E45</f>
        <v>783550</v>
      </c>
      <c r="F46" s="212">
        <f t="shared" si="8"/>
        <v>8231</v>
      </c>
      <c r="G46" s="212">
        <f t="shared" si="8"/>
        <v>17435</v>
      </c>
      <c r="H46" s="212">
        <f t="shared" si="8"/>
        <v>17720</v>
      </c>
      <c r="I46" s="212">
        <f t="shared" si="8"/>
        <v>18429</v>
      </c>
      <c r="J46" s="212">
        <f t="shared" si="8"/>
        <v>11989</v>
      </c>
      <c r="K46" s="212">
        <f t="shared" si="8"/>
        <v>19505</v>
      </c>
      <c r="L46" s="212">
        <f t="shared" si="8"/>
        <v>1680</v>
      </c>
      <c r="M46" s="212">
        <f t="shared" si="8"/>
        <v>878539</v>
      </c>
      <c r="N46" s="212">
        <f t="shared" si="8"/>
        <v>41894</v>
      </c>
      <c r="O46" s="212">
        <f t="shared" si="8"/>
        <v>1306</v>
      </c>
      <c r="P46" s="212">
        <f t="shared" si="8"/>
        <v>294829</v>
      </c>
      <c r="Q46" s="212">
        <f t="shared" si="8"/>
        <v>182486</v>
      </c>
      <c r="R46" s="212">
        <f t="shared" si="8"/>
        <v>1399054</v>
      </c>
      <c r="S46" s="415">
        <f t="shared" si="8"/>
        <v>16788648</v>
      </c>
    </row>
    <row r="47" spans="1:20" x14ac:dyDescent="0.25">
      <c r="A47" s="10"/>
      <c r="E47" s="742"/>
      <c r="M47" s="742"/>
      <c r="S47" s="729"/>
    </row>
    <row r="48" spans="1:20" x14ac:dyDescent="0.25">
      <c r="A48" s="10"/>
      <c r="E48" s="742"/>
      <c r="M48" s="742"/>
      <c r="N48" s="36" t="s">
        <v>174</v>
      </c>
      <c r="O48" s="53"/>
      <c r="P48" s="53"/>
      <c r="Q48" s="53"/>
      <c r="R48" s="37">
        <f>R14+R15+R19+R21+R29+R30+R31+R32+R33+R34</f>
        <v>58840</v>
      </c>
      <c r="S48" s="37">
        <f>S14+S15+S19+S21+S29+S30+S31+S32+S33+S34</f>
        <v>706080</v>
      </c>
    </row>
    <row r="49" spans="1:21" x14ac:dyDescent="0.25">
      <c r="A49" s="10"/>
      <c r="E49" s="742"/>
      <c r="M49" s="742"/>
      <c r="N49" s="36" t="s">
        <v>175</v>
      </c>
      <c r="O49" s="53"/>
      <c r="P49" s="53"/>
      <c r="Q49" s="53"/>
      <c r="R49" s="37">
        <f>R16+R22+R23+R24+R25+R35+R36+R37+R38+R39+R40+R41+R42+R43+R44</f>
        <v>52448</v>
      </c>
      <c r="S49" s="37">
        <f>S16+S22+S23+S24+S25+S35+S36+S37+S38+S39+S40+S41+S42+S43+S44</f>
        <v>629376</v>
      </c>
    </row>
    <row r="50" spans="1:21" x14ac:dyDescent="0.25">
      <c r="A50" s="10"/>
      <c r="E50" s="742"/>
      <c r="M50" s="742"/>
      <c r="S50" s="729"/>
    </row>
    <row r="51" spans="1:21" x14ac:dyDescent="0.25">
      <c r="A51" s="10"/>
      <c r="E51" s="742"/>
      <c r="M51" s="742"/>
      <c r="S51" s="729"/>
    </row>
    <row r="52" spans="1:21" x14ac:dyDescent="0.25">
      <c r="A52" s="10"/>
      <c r="E52" s="3" t="s">
        <v>822</v>
      </c>
      <c r="O52" s="3" t="s">
        <v>823</v>
      </c>
    </row>
    <row r="53" spans="1:21" x14ac:dyDescent="0.25">
      <c r="A53" s="10"/>
      <c r="M53" s="729"/>
    </row>
    <row r="54" spans="1:21" x14ac:dyDescent="0.25">
      <c r="A54" s="10"/>
      <c r="E54" s="3" t="s">
        <v>824</v>
      </c>
      <c r="O54" s="3" t="s">
        <v>825</v>
      </c>
    </row>
    <row r="55" spans="1:21" x14ac:dyDescent="0.25">
      <c r="E55"/>
      <c r="F55"/>
      <c r="G55"/>
      <c r="H55"/>
      <c r="I55"/>
      <c r="J55"/>
      <c r="K55"/>
    </row>
    <row r="56" spans="1:21" x14ac:dyDescent="0.25">
      <c r="E56" s="728">
        <f>E12+E17+E18+E20+E26+E27+E28</f>
        <v>318720</v>
      </c>
      <c r="F56" s="3" t="s">
        <v>636</v>
      </c>
      <c r="H56" s="729">
        <f>H11+H45+'расчет з.п.базового уровня'!H11+'расчет з.п.базового уровня'!H21</f>
        <v>35440</v>
      </c>
      <c r="I56" s="729">
        <f>I9+'расчет з.п.базового уровня'!I11</f>
        <v>36858</v>
      </c>
      <c r="K56" s="413">
        <f>'расчет за вредность'!N109*20%</f>
        <v>4876</v>
      </c>
      <c r="N56" s="3">
        <f>(N9+'расчет з.п.базового уровня'!N9)*12</f>
        <v>707940</v>
      </c>
    </row>
    <row r="58" spans="1:21" x14ac:dyDescent="0.25">
      <c r="E58" s="729"/>
      <c r="T58" s="76"/>
    </row>
    <row r="59" spans="1:21" x14ac:dyDescent="0.25">
      <c r="S59" s="616"/>
      <c r="T59" s="740">
        <v>882600</v>
      </c>
      <c r="U59" s="741" t="s">
        <v>171</v>
      </c>
    </row>
    <row r="60" spans="1:21" x14ac:dyDescent="0.25">
      <c r="E60" s="697"/>
    </row>
    <row r="61" spans="1:21" x14ac:dyDescent="0.25">
      <c r="F61" s="189">
        <v>4273</v>
      </c>
      <c r="G61" s="189">
        <f>F61/F62*100</f>
        <v>17.579999999999998</v>
      </c>
    </row>
    <row r="62" spans="1:21" x14ac:dyDescent="0.25">
      <c r="F62" s="189">
        <f>48602/12*6</f>
        <v>24301</v>
      </c>
      <c r="G62" s="95"/>
      <c r="T62" s="740">
        <f>S14+S15+S19+S21+S29+S30+S31+S32+S33+S34</f>
        <v>706080</v>
      </c>
      <c r="U62" s="741" t="s">
        <v>172</v>
      </c>
    </row>
    <row r="63" spans="1:21" x14ac:dyDescent="0.25">
      <c r="S63" s="616"/>
      <c r="T63" s="740">
        <f>S16+S22+S23+S24+S25+S35+S36+S37+S38+S39+S40+S41+S42+S43+S44</f>
        <v>629376</v>
      </c>
      <c r="U63" s="741" t="s">
        <v>173</v>
      </c>
    </row>
    <row r="65" spans="4:6" x14ac:dyDescent="0.25">
      <c r="D65" s="95" t="s">
        <v>668</v>
      </c>
      <c r="E65" s="95">
        <v>48602</v>
      </c>
      <c r="F65" s="95" t="s">
        <v>307</v>
      </c>
    </row>
    <row r="66" spans="4:6" x14ac:dyDescent="0.25">
      <c r="D66" s="95"/>
      <c r="E66" s="189">
        <f>F61</f>
        <v>4273</v>
      </c>
      <c r="F66" s="95" t="s">
        <v>308</v>
      </c>
    </row>
    <row r="67" spans="4:6" x14ac:dyDescent="0.25">
      <c r="D67" s="95"/>
      <c r="E67" s="95"/>
      <c r="F67" s="95"/>
    </row>
    <row r="68" spans="4:6" x14ac:dyDescent="0.25">
      <c r="D68" s="95"/>
      <c r="E68" s="189">
        <f>E65*G61%</f>
        <v>8544.23</v>
      </c>
      <c r="F68" s="95"/>
    </row>
    <row r="69" spans="4:6" x14ac:dyDescent="0.25">
      <c r="D69" s="95"/>
      <c r="E69" s="189">
        <f>E68*12/720</f>
        <v>142.4</v>
      </c>
      <c r="F69" s="95" t="s">
        <v>309</v>
      </c>
    </row>
    <row r="70" spans="4:6" x14ac:dyDescent="0.25">
      <c r="D70" s="95"/>
      <c r="E70" s="95"/>
      <c r="F70" s="95"/>
    </row>
  </sheetData>
  <mergeCells count="12">
    <mergeCell ref="S5:S7"/>
    <mergeCell ref="N5:P5"/>
    <mergeCell ref="F5:L5"/>
    <mergeCell ref="B1:R1"/>
    <mergeCell ref="B2:R2"/>
    <mergeCell ref="B3:Q3"/>
    <mergeCell ref="B5:B7"/>
    <mergeCell ref="C5:C7"/>
    <mergeCell ref="D5:D7"/>
    <mergeCell ref="M5:M7"/>
    <mergeCell ref="Q5:Q7"/>
    <mergeCell ref="R5:R7"/>
  </mergeCells>
  <phoneticPr fontId="17" type="noConversion"/>
  <pageMargins left="0.70866141732283472" right="0.70866141732283472" top="0" bottom="0" header="0" footer="0"/>
  <pageSetup paperSize="9" scale="8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topLeftCell="C14" workbookViewId="0">
      <selection activeCell="Q10" sqref="Q10"/>
    </sheetView>
  </sheetViews>
  <sheetFormatPr defaultRowHeight="15" x14ac:dyDescent="0.25"/>
  <cols>
    <col min="1" max="1" width="2.42578125" customWidth="1"/>
    <col min="2" max="2" width="23.42578125" style="95" customWidth="1"/>
    <col min="3" max="3" width="3.42578125" style="95" customWidth="1"/>
    <col min="4" max="4" width="4.28515625" style="95" customWidth="1"/>
    <col min="5" max="5" width="8" style="95" customWidth="1"/>
    <col min="6" max="6" width="7.85546875" style="95" customWidth="1"/>
    <col min="7" max="7" width="8.140625" style="95" customWidth="1"/>
    <col min="8" max="8" width="6.42578125" style="95" customWidth="1"/>
    <col min="9" max="9" width="5.7109375" style="95" customWidth="1"/>
    <col min="10" max="10" width="7.85546875" style="95" customWidth="1"/>
    <col min="11" max="11" width="7.42578125" style="95" customWidth="1"/>
    <col min="12" max="12" width="6" style="95" customWidth="1"/>
    <col min="13" max="13" width="4.7109375" style="95" customWidth="1"/>
    <col min="14" max="14" width="8.42578125" style="95" customWidth="1"/>
    <col min="15" max="15" width="8.140625" style="95" customWidth="1"/>
    <col min="16" max="17" width="6.7109375" style="95" customWidth="1"/>
    <col min="18" max="18" width="6.85546875" style="95" customWidth="1"/>
    <col min="19" max="19" width="7.5703125" style="145" customWidth="1"/>
    <col min="20" max="20" width="9.7109375" style="145" customWidth="1"/>
  </cols>
  <sheetData>
    <row r="1" spans="1:20" x14ac:dyDescent="0.25">
      <c r="A1" s="10"/>
      <c r="B1" s="851" t="s">
        <v>305</v>
      </c>
      <c r="C1" s="851"/>
      <c r="D1" s="851"/>
      <c r="E1" s="851"/>
      <c r="F1" s="851"/>
      <c r="G1" s="851"/>
      <c r="H1" s="851"/>
      <c r="I1" s="851"/>
      <c r="J1" s="851"/>
      <c r="K1" s="851"/>
      <c r="L1" s="851"/>
      <c r="M1" s="851"/>
      <c r="N1" s="851"/>
      <c r="O1" s="851"/>
      <c r="P1" s="851"/>
      <c r="Q1" s="851"/>
      <c r="R1" s="851"/>
      <c r="S1" s="851"/>
      <c r="T1" s="95"/>
    </row>
    <row r="2" spans="1:20" x14ac:dyDescent="0.25">
      <c r="A2" s="10"/>
      <c r="B2" s="859" t="s">
        <v>222</v>
      </c>
      <c r="C2" s="859"/>
      <c r="D2" s="859"/>
      <c r="E2" s="859"/>
      <c r="F2" s="859"/>
      <c r="G2" s="859"/>
      <c r="H2" s="859"/>
      <c r="I2" s="859"/>
      <c r="J2" s="859"/>
      <c r="K2" s="859"/>
      <c r="L2" s="859"/>
      <c r="M2" s="859"/>
      <c r="N2" s="859"/>
      <c r="O2" s="859"/>
      <c r="P2" s="859"/>
      <c r="Q2" s="859"/>
      <c r="R2" s="859"/>
      <c r="S2" s="859"/>
    </row>
    <row r="3" spans="1:20" x14ac:dyDescent="0.25">
      <c r="A3" s="10"/>
      <c r="B3" s="853" t="s">
        <v>684</v>
      </c>
      <c r="C3" s="853"/>
      <c r="D3" s="853"/>
      <c r="E3" s="853"/>
      <c r="F3" s="853"/>
      <c r="G3" s="853"/>
      <c r="H3" s="853"/>
      <c r="I3" s="853"/>
      <c r="J3" s="853"/>
      <c r="K3" s="853"/>
      <c r="L3" s="853"/>
      <c r="M3" s="853"/>
      <c r="N3" s="853"/>
      <c r="O3" s="853"/>
      <c r="P3" s="853"/>
      <c r="Q3" s="853"/>
      <c r="R3" s="853"/>
      <c r="S3" s="3" t="s">
        <v>685</v>
      </c>
      <c r="T3" s="3"/>
    </row>
    <row r="4" spans="1:20" x14ac:dyDescent="0.25">
      <c r="A4" s="10"/>
      <c r="B4" s="145"/>
      <c r="C4" s="145"/>
      <c r="D4" s="145"/>
      <c r="E4" s="145"/>
      <c r="F4" s="201"/>
      <c r="G4" s="201"/>
      <c r="H4" s="201"/>
      <c r="I4" s="201"/>
      <c r="S4" s="95"/>
      <c r="T4" s="95"/>
    </row>
    <row r="5" spans="1:20" ht="33.75" customHeight="1" x14ac:dyDescent="0.25">
      <c r="A5" s="10"/>
      <c r="B5" s="854"/>
      <c r="C5" s="855" t="s">
        <v>686</v>
      </c>
      <c r="D5" s="855" t="s">
        <v>687</v>
      </c>
      <c r="E5" s="207" t="s">
        <v>688</v>
      </c>
      <c r="F5" s="848" t="s">
        <v>297</v>
      </c>
      <c r="G5" s="849"/>
      <c r="H5" s="849"/>
      <c r="I5" s="849"/>
      <c r="J5" s="849"/>
      <c r="K5" s="849"/>
      <c r="L5" s="849"/>
      <c r="M5" s="850"/>
      <c r="N5" s="858" t="s">
        <v>689</v>
      </c>
      <c r="O5" s="845" t="s">
        <v>218</v>
      </c>
      <c r="P5" s="846"/>
      <c r="Q5" s="847"/>
      <c r="R5" s="854" t="s">
        <v>690</v>
      </c>
      <c r="S5" s="844" t="s">
        <v>118</v>
      </c>
      <c r="T5" s="844" t="s">
        <v>119</v>
      </c>
    </row>
    <row r="6" spans="1:20" ht="89.25" customHeight="1" x14ac:dyDescent="0.25">
      <c r="A6" s="10"/>
      <c r="B6" s="854"/>
      <c r="C6" s="856"/>
      <c r="D6" s="856"/>
      <c r="E6" s="478" t="s">
        <v>296</v>
      </c>
      <c r="F6" s="479" t="s">
        <v>292</v>
      </c>
      <c r="G6" s="479" t="s">
        <v>291</v>
      </c>
      <c r="H6" s="479" t="s">
        <v>293</v>
      </c>
      <c r="I6" s="479" t="s">
        <v>294</v>
      </c>
      <c r="J6" s="480" t="s">
        <v>295</v>
      </c>
      <c r="K6" s="481" t="s">
        <v>298</v>
      </c>
      <c r="L6" s="481" t="s">
        <v>302</v>
      </c>
      <c r="M6" s="481" t="s">
        <v>303</v>
      </c>
      <c r="N6" s="858"/>
      <c r="O6" s="477" t="s">
        <v>813</v>
      </c>
      <c r="P6" s="414" t="s">
        <v>300</v>
      </c>
      <c r="Q6" s="414" t="s">
        <v>301</v>
      </c>
      <c r="R6" s="854"/>
      <c r="S6" s="844"/>
      <c r="T6" s="844"/>
    </row>
    <row r="7" spans="1:20" ht="81.75" customHeight="1" x14ac:dyDescent="0.25">
      <c r="A7" s="10"/>
      <c r="B7" s="854"/>
      <c r="C7" s="857"/>
      <c r="D7" s="857"/>
      <c r="E7" s="451" t="s">
        <v>126</v>
      </c>
      <c r="F7" s="452" t="s">
        <v>127</v>
      </c>
      <c r="G7" s="452" t="s">
        <v>128</v>
      </c>
      <c r="H7" s="452" t="s">
        <v>129</v>
      </c>
      <c r="I7" s="452" t="s">
        <v>130</v>
      </c>
      <c r="J7" s="453" t="s">
        <v>131</v>
      </c>
      <c r="K7" s="454" t="s">
        <v>299</v>
      </c>
      <c r="L7" s="454"/>
      <c r="M7" s="454"/>
      <c r="N7" s="858"/>
      <c r="O7" s="174"/>
      <c r="P7" s="174"/>
      <c r="Q7" s="174"/>
      <c r="R7" s="854"/>
      <c r="S7" s="844"/>
      <c r="T7" s="844"/>
    </row>
    <row r="8" spans="1:20" x14ac:dyDescent="0.25">
      <c r="A8" s="10"/>
      <c r="B8" s="200">
        <v>1</v>
      </c>
      <c r="C8" s="200"/>
      <c r="D8" s="200"/>
      <c r="E8" s="200">
        <v>2</v>
      </c>
      <c r="F8" s="200">
        <v>3</v>
      </c>
      <c r="G8" s="200">
        <v>4</v>
      </c>
      <c r="H8" s="200">
        <v>5</v>
      </c>
      <c r="I8" s="200">
        <v>6</v>
      </c>
      <c r="J8" s="210">
        <v>7</v>
      </c>
      <c r="K8" s="210">
        <v>8</v>
      </c>
      <c r="L8" s="210">
        <v>9</v>
      </c>
      <c r="M8" s="210">
        <v>10</v>
      </c>
      <c r="N8" s="200">
        <v>11</v>
      </c>
      <c r="O8" s="200">
        <v>12</v>
      </c>
      <c r="P8" s="200">
        <v>13</v>
      </c>
      <c r="Q8" s="200">
        <v>14</v>
      </c>
      <c r="R8" s="200">
        <v>15</v>
      </c>
      <c r="S8" s="200">
        <v>16</v>
      </c>
      <c r="T8" s="124">
        <v>17</v>
      </c>
    </row>
    <row r="9" spans="1:20" ht="27.75" customHeight="1" x14ac:dyDescent="0.25">
      <c r="A9" s="10"/>
      <c r="B9" s="204" t="s">
        <v>864</v>
      </c>
      <c r="C9" s="200"/>
      <c r="D9" s="200"/>
      <c r="E9" s="206">
        <f>5780/720*11686</f>
        <v>93813</v>
      </c>
      <c r="F9" s="114">
        <f>5780*E41%</f>
        <v>2348.41</v>
      </c>
      <c r="G9" s="205">
        <f>4768.89</f>
        <v>4769</v>
      </c>
      <c r="H9" s="205">
        <f>((5780*29+5360*2)*12%)*20%</f>
        <v>4280</v>
      </c>
      <c r="I9" s="205">
        <f>((5780*19+5360)*20%)*20%</f>
        <v>4607</v>
      </c>
      <c r="J9" s="206">
        <f>((5780*4)*30%+(5780)*20%+(5780*11)*10%+(5360)*10%)*20%</f>
        <v>2997</v>
      </c>
      <c r="K9" s="206">
        <f>E9*15%</f>
        <v>14072</v>
      </c>
      <c r="L9" s="206">
        <f>'расчет за вредность'!O117*20%</f>
        <v>2517</v>
      </c>
      <c r="M9" s="206"/>
      <c r="N9" s="206">
        <f>E9+F9+G9+H9+I9+J9+K9+L9+M9</f>
        <v>129403</v>
      </c>
      <c r="O9" s="206">
        <f>12758.72</f>
        <v>12759</v>
      </c>
      <c r="P9" s="213">
        <v>1306</v>
      </c>
      <c r="Q9" s="206">
        <f>N9*30%-O9-P9</f>
        <v>24756</v>
      </c>
      <c r="R9" s="205">
        <f>(N9+O9+P9+Q9)*15%</f>
        <v>25234</v>
      </c>
      <c r="S9" s="412">
        <f>N9+O9+P9+Q9+R9</f>
        <v>193458</v>
      </c>
      <c r="T9" s="138">
        <f>S9*12</f>
        <v>2321496</v>
      </c>
    </row>
    <row r="10" spans="1:20" ht="17.25" customHeight="1" x14ac:dyDescent="0.25">
      <c r="A10" s="10"/>
      <c r="B10" s="204" t="s">
        <v>121</v>
      </c>
      <c r="C10" s="202"/>
      <c r="D10" s="202"/>
      <c r="E10" s="206">
        <f>3608</f>
        <v>3608</v>
      </c>
      <c r="F10" s="205"/>
      <c r="G10" s="205"/>
      <c r="H10" s="205"/>
      <c r="I10" s="205"/>
      <c r="J10" s="209"/>
      <c r="K10" s="209"/>
      <c r="L10" s="213">
        <f>'расчет за вредность'!O116*20%</f>
        <v>82</v>
      </c>
      <c r="M10" s="209"/>
      <c r="N10" s="206">
        <f t="shared" ref="N10:N19" si="0">E10+F10+G10+H10+I10+J10+K10+L10+M10</f>
        <v>3690</v>
      </c>
      <c r="O10" s="206">
        <v>361</v>
      </c>
      <c r="P10" s="206"/>
      <c r="Q10" s="206">
        <f t="shared" ref="Q10:Q19" si="1">N10*30%-O10-P10</f>
        <v>746</v>
      </c>
      <c r="R10" s="205">
        <f t="shared" ref="R10:R19" si="2">(N10+O10+P10+Q10)*15%</f>
        <v>720</v>
      </c>
      <c r="S10" s="412">
        <f t="shared" ref="S10:S19" si="3">N10+O10+P10+Q10+R10</f>
        <v>5517</v>
      </c>
      <c r="T10" s="138">
        <f t="shared" ref="T10:T20" si="4">S10*12</f>
        <v>66204</v>
      </c>
    </row>
    <row r="11" spans="1:20" ht="24.75" customHeight="1" x14ac:dyDescent="0.25">
      <c r="A11" s="10"/>
      <c r="B11" s="417" t="s">
        <v>122</v>
      </c>
      <c r="C11" s="421"/>
      <c r="D11" s="421"/>
      <c r="E11" s="418">
        <f>E9+E10</f>
        <v>97421</v>
      </c>
      <c r="F11" s="418">
        <f t="shared" ref="F11:T11" si="5">F9+F10</f>
        <v>2348</v>
      </c>
      <c r="G11" s="418">
        <f t="shared" si="5"/>
        <v>4769</v>
      </c>
      <c r="H11" s="418">
        <f t="shared" si="5"/>
        <v>4280</v>
      </c>
      <c r="I11" s="418">
        <f t="shared" si="5"/>
        <v>4607</v>
      </c>
      <c r="J11" s="418">
        <f t="shared" si="5"/>
        <v>2997</v>
      </c>
      <c r="K11" s="418">
        <f t="shared" si="5"/>
        <v>14072</v>
      </c>
      <c r="L11" s="418">
        <f t="shared" si="5"/>
        <v>2599</v>
      </c>
      <c r="M11" s="418">
        <f t="shared" si="5"/>
        <v>0</v>
      </c>
      <c r="N11" s="418">
        <f t="shared" si="5"/>
        <v>133093</v>
      </c>
      <c r="O11" s="418">
        <f t="shared" si="5"/>
        <v>13120</v>
      </c>
      <c r="P11" s="418">
        <f t="shared" si="5"/>
        <v>1306</v>
      </c>
      <c r="Q11" s="418">
        <f t="shared" si="5"/>
        <v>25502</v>
      </c>
      <c r="R11" s="418">
        <f t="shared" si="5"/>
        <v>25954</v>
      </c>
      <c r="S11" s="418">
        <f t="shared" si="5"/>
        <v>198975</v>
      </c>
      <c r="T11" s="419">
        <f t="shared" si="5"/>
        <v>2387700</v>
      </c>
    </row>
    <row r="12" spans="1:20" ht="15.75" x14ac:dyDescent="0.25">
      <c r="A12" s="10"/>
      <c r="B12" s="200" t="s">
        <v>814</v>
      </c>
      <c r="C12" s="203"/>
      <c r="D12" s="203"/>
      <c r="E12" s="203">
        <f>21500</f>
        <v>21500</v>
      </c>
      <c r="F12" s="203"/>
      <c r="G12" s="203"/>
      <c r="H12" s="203"/>
      <c r="I12" s="203"/>
      <c r="J12" s="203"/>
      <c r="K12" s="203"/>
      <c r="L12" s="203">
        <f>'расчет за вредность'!O108*20%</f>
        <v>860</v>
      </c>
      <c r="M12" s="203"/>
      <c r="N12" s="206">
        <f t="shared" si="0"/>
        <v>22360</v>
      </c>
      <c r="O12" s="448">
        <f>3825</f>
        <v>3825</v>
      </c>
      <c r="P12" s="203"/>
      <c r="Q12" s="206">
        <f>E12</f>
        <v>21500</v>
      </c>
      <c r="R12" s="205">
        <f t="shared" si="2"/>
        <v>7153</v>
      </c>
      <c r="S12" s="412">
        <f t="shared" si="3"/>
        <v>54838</v>
      </c>
      <c r="T12" s="138">
        <f t="shared" si="4"/>
        <v>658056</v>
      </c>
    </row>
    <row r="13" spans="1:20" ht="38.25" x14ac:dyDescent="0.25">
      <c r="A13" s="10"/>
      <c r="B13" s="200" t="s">
        <v>120</v>
      </c>
      <c r="C13" s="203"/>
      <c r="D13" s="203"/>
      <c r="E13" s="203">
        <f>15058</f>
        <v>15058</v>
      </c>
      <c r="F13" s="203"/>
      <c r="G13" s="203"/>
      <c r="H13" s="203">
        <f>6240*12%*20%</f>
        <v>150</v>
      </c>
      <c r="I13" s="203"/>
      <c r="J13" s="203"/>
      <c r="K13" s="203"/>
      <c r="L13" s="203">
        <f>'расчет за вредность'!O109*20%</f>
        <v>590</v>
      </c>
      <c r="M13" s="203"/>
      <c r="N13" s="206">
        <f t="shared" si="0"/>
        <v>15798</v>
      </c>
      <c r="O13" s="448">
        <f>1666.4</f>
        <v>1666</v>
      </c>
      <c r="P13" s="203"/>
      <c r="Q13" s="206">
        <f>N13*30%-O13-P13</f>
        <v>3073</v>
      </c>
      <c r="R13" s="205">
        <f>(N13+O13+P13+Q13)*15%</f>
        <v>3081</v>
      </c>
      <c r="S13" s="412">
        <f>N13+O13+P13+Q13+R13</f>
        <v>23618</v>
      </c>
      <c r="T13" s="138">
        <f t="shared" si="4"/>
        <v>283416</v>
      </c>
    </row>
    <row r="14" spans="1:20" ht="33" customHeight="1" x14ac:dyDescent="0.25">
      <c r="A14" s="10"/>
      <c r="B14" s="200" t="s">
        <v>815</v>
      </c>
      <c r="C14" s="208"/>
      <c r="D14" s="208"/>
      <c r="E14" s="211">
        <f>1340</f>
        <v>1340</v>
      </c>
      <c r="F14" s="483"/>
      <c r="G14" s="483"/>
      <c r="H14" s="483"/>
      <c r="I14" s="483"/>
      <c r="J14" s="483"/>
      <c r="K14" s="483"/>
      <c r="L14" s="211">
        <f>'расчет за вредность'!O110*20%</f>
        <v>54</v>
      </c>
      <c r="M14" s="483"/>
      <c r="N14" s="206">
        <f t="shared" si="0"/>
        <v>1394</v>
      </c>
      <c r="O14" s="448">
        <v>0</v>
      </c>
      <c r="P14" s="483"/>
      <c r="Q14" s="206">
        <f t="shared" si="1"/>
        <v>418</v>
      </c>
      <c r="R14" s="205">
        <f t="shared" si="2"/>
        <v>272</v>
      </c>
      <c r="S14" s="412">
        <f t="shared" si="3"/>
        <v>2084</v>
      </c>
      <c r="T14" s="138">
        <f t="shared" si="4"/>
        <v>25008</v>
      </c>
    </row>
    <row r="15" spans="1:20" ht="38.25" x14ac:dyDescent="0.25">
      <c r="A15" s="10"/>
      <c r="B15" s="200" t="s">
        <v>816</v>
      </c>
      <c r="C15" s="208"/>
      <c r="D15" s="208"/>
      <c r="E15" s="211">
        <f>11184</f>
        <v>11184</v>
      </c>
      <c r="F15" s="483"/>
      <c r="G15" s="483"/>
      <c r="H15" s="483"/>
      <c r="I15" s="483"/>
      <c r="J15" s="483"/>
      <c r="K15" s="483"/>
      <c r="L15" s="211">
        <f>'расчет за вредность'!O111*20%</f>
        <v>89</v>
      </c>
      <c r="M15" s="211">
        <f>600*2*20%</f>
        <v>240</v>
      </c>
      <c r="N15" s="206">
        <f t="shared" si="0"/>
        <v>11513</v>
      </c>
      <c r="O15" s="448">
        <v>1431</v>
      </c>
      <c r="P15" s="211"/>
      <c r="Q15" s="206">
        <f t="shared" si="1"/>
        <v>2023</v>
      </c>
      <c r="R15" s="205">
        <f t="shared" si="2"/>
        <v>2245</v>
      </c>
      <c r="S15" s="412">
        <f t="shared" si="3"/>
        <v>17212</v>
      </c>
      <c r="T15" s="138">
        <f t="shared" si="4"/>
        <v>206544</v>
      </c>
    </row>
    <row r="16" spans="1:20" x14ac:dyDescent="0.25">
      <c r="A16" s="10"/>
      <c r="B16" s="200" t="s">
        <v>817</v>
      </c>
      <c r="C16" s="208"/>
      <c r="D16" s="208"/>
      <c r="E16" s="211">
        <f>20732</f>
        <v>20732</v>
      </c>
      <c r="F16" s="483"/>
      <c r="G16" s="483"/>
      <c r="H16" s="483"/>
      <c r="I16" s="483"/>
      <c r="J16" s="483"/>
      <c r="K16" s="483"/>
      <c r="L16" s="211">
        <f>'расчет за вредность'!O112*20%</f>
        <v>272</v>
      </c>
      <c r="M16" s="483"/>
      <c r="N16" s="206">
        <f>E16+F16+G16+H16+I16+J16+K16+L16+M16</f>
        <v>21004</v>
      </c>
      <c r="O16" s="205">
        <v>0</v>
      </c>
      <c r="P16" s="209"/>
      <c r="Q16" s="206">
        <f t="shared" si="1"/>
        <v>6301</v>
      </c>
      <c r="R16" s="205">
        <f t="shared" si="2"/>
        <v>4096</v>
      </c>
      <c r="S16" s="412">
        <f t="shared" si="3"/>
        <v>31401</v>
      </c>
      <c r="T16" s="138">
        <f t="shared" si="4"/>
        <v>376812</v>
      </c>
    </row>
    <row r="17" spans="1:20" x14ac:dyDescent="0.25">
      <c r="A17" s="10"/>
      <c r="B17" s="200" t="s">
        <v>818</v>
      </c>
      <c r="C17" s="208"/>
      <c r="D17" s="208"/>
      <c r="E17" s="211">
        <f>1072</f>
        <v>1072</v>
      </c>
      <c r="F17" s="483"/>
      <c r="G17" s="483"/>
      <c r="H17" s="483"/>
      <c r="I17" s="483"/>
      <c r="J17" s="483"/>
      <c r="K17" s="483"/>
      <c r="L17" s="211">
        <f>'расчет за вредность'!O113*20%</f>
        <v>43</v>
      </c>
      <c r="M17" s="483"/>
      <c r="N17" s="206">
        <f t="shared" si="0"/>
        <v>1115</v>
      </c>
      <c r="O17" s="205">
        <v>0</v>
      </c>
      <c r="P17" s="209"/>
      <c r="Q17" s="206">
        <f t="shared" si="1"/>
        <v>335</v>
      </c>
      <c r="R17" s="205">
        <f t="shared" si="2"/>
        <v>218</v>
      </c>
      <c r="S17" s="412">
        <f t="shared" si="3"/>
        <v>1668</v>
      </c>
      <c r="T17" s="138">
        <f t="shared" si="4"/>
        <v>20016</v>
      </c>
    </row>
    <row r="18" spans="1:20" x14ac:dyDescent="0.25">
      <c r="A18" s="10"/>
      <c r="B18" s="204" t="s">
        <v>819</v>
      </c>
      <c r="C18" s="208"/>
      <c r="D18" s="208"/>
      <c r="E18" s="211">
        <f>3392</f>
        <v>3392</v>
      </c>
      <c r="F18" s="483"/>
      <c r="G18" s="483"/>
      <c r="H18" s="483"/>
      <c r="I18" s="483"/>
      <c r="J18" s="483"/>
      <c r="K18" s="483"/>
      <c r="L18" s="211">
        <f>'расчет за вредность'!O114*20%</f>
        <v>136</v>
      </c>
      <c r="M18" s="483"/>
      <c r="N18" s="206">
        <f t="shared" si="0"/>
        <v>3528</v>
      </c>
      <c r="O18" s="205">
        <v>0</v>
      </c>
      <c r="P18" s="209"/>
      <c r="Q18" s="206">
        <f t="shared" si="1"/>
        <v>1058</v>
      </c>
      <c r="R18" s="205">
        <f t="shared" si="2"/>
        <v>688</v>
      </c>
      <c r="S18" s="412">
        <f t="shared" si="3"/>
        <v>5274</v>
      </c>
      <c r="T18" s="138">
        <f t="shared" si="4"/>
        <v>63288</v>
      </c>
    </row>
    <row r="19" spans="1:20" x14ac:dyDescent="0.25">
      <c r="A19" s="10"/>
      <c r="B19" s="457" t="s">
        <v>733</v>
      </c>
      <c r="C19" s="208"/>
      <c r="D19" s="208"/>
      <c r="E19" s="211">
        <f>20460</f>
        <v>20460</v>
      </c>
      <c r="F19" s="483"/>
      <c r="G19" s="483"/>
      <c r="H19" s="483"/>
      <c r="I19" s="483"/>
      <c r="J19" s="483"/>
      <c r="K19" s="483"/>
      <c r="L19" s="211">
        <f>'расчет за вредность'!O115*20%</f>
        <v>235</v>
      </c>
      <c r="M19" s="476">
        <f>225.14*4*20%</f>
        <v>180</v>
      </c>
      <c r="N19" s="206">
        <f t="shared" si="0"/>
        <v>20875</v>
      </c>
      <c r="O19" s="213">
        <v>0</v>
      </c>
      <c r="P19" s="209"/>
      <c r="Q19" s="206">
        <f t="shared" si="1"/>
        <v>6263</v>
      </c>
      <c r="R19" s="205">
        <f t="shared" si="2"/>
        <v>4071</v>
      </c>
      <c r="S19" s="412">
        <f t="shared" si="3"/>
        <v>31209</v>
      </c>
      <c r="T19" s="138">
        <f t="shared" si="4"/>
        <v>374508</v>
      </c>
    </row>
    <row r="20" spans="1:20" x14ac:dyDescent="0.25">
      <c r="A20" s="10"/>
      <c r="B20" s="620" t="s">
        <v>734</v>
      </c>
      <c r="C20" s="621"/>
      <c r="D20" s="621"/>
      <c r="E20" s="622">
        <v>1600</v>
      </c>
      <c r="F20" s="623"/>
      <c r="G20" s="623"/>
      <c r="H20" s="623"/>
      <c r="I20" s="623"/>
      <c r="J20" s="623"/>
      <c r="K20" s="623"/>
      <c r="L20" s="622">
        <f>('расчет за вредность'!N31+'расчет за вредность'!N32+'расчет за вредность'!N33+'расчет за вредность'!N34)*20%</f>
        <v>64</v>
      </c>
      <c r="M20" s="624">
        <f>225.14*4*20%</f>
        <v>180</v>
      </c>
      <c r="N20" s="625">
        <f>E20+F20+G20+H20+I20+J20+K20+L20+M20</f>
        <v>1844</v>
      </c>
      <c r="O20" s="622">
        <v>0</v>
      </c>
      <c r="P20" s="623"/>
      <c r="Q20" s="625">
        <f>N20*30%-O20-P20</f>
        <v>553</v>
      </c>
      <c r="R20" s="626">
        <f>(N20+O20+P20+Q20)*15%</f>
        <v>360</v>
      </c>
      <c r="S20" s="627">
        <f>N20+O20+P20+Q20+R20</f>
        <v>2757</v>
      </c>
      <c r="T20" s="628">
        <f t="shared" si="4"/>
        <v>33084</v>
      </c>
    </row>
    <row r="21" spans="1:20" ht="26.25" x14ac:dyDescent="0.25">
      <c r="A21" s="10"/>
      <c r="B21" s="486" t="s">
        <v>219</v>
      </c>
      <c r="C21" s="427"/>
      <c r="D21" s="427"/>
      <c r="E21" s="484">
        <f t="shared" ref="E21:T21" si="6">E12+E13+E14+E15+E16+E17+E18+E19</f>
        <v>94738</v>
      </c>
      <c r="F21" s="484">
        <f t="shared" si="6"/>
        <v>0</v>
      </c>
      <c r="G21" s="484">
        <f t="shared" si="6"/>
        <v>0</v>
      </c>
      <c r="H21" s="484">
        <f t="shared" si="6"/>
        <v>150</v>
      </c>
      <c r="I21" s="484">
        <f t="shared" si="6"/>
        <v>0</v>
      </c>
      <c r="J21" s="484">
        <f t="shared" si="6"/>
        <v>0</v>
      </c>
      <c r="K21" s="484">
        <f t="shared" si="6"/>
        <v>0</v>
      </c>
      <c r="L21" s="484">
        <f t="shared" si="6"/>
        <v>2279</v>
      </c>
      <c r="M21" s="484">
        <f t="shared" si="6"/>
        <v>420</v>
      </c>
      <c r="N21" s="484">
        <f t="shared" si="6"/>
        <v>97587</v>
      </c>
      <c r="O21" s="484">
        <f t="shared" si="6"/>
        <v>6922</v>
      </c>
      <c r="P21" s="484">
        <f t="shared" si="6"/>
        <v>0</v>
      </c>
      <c r="Q21" s="484">
        <f t="shared" si="6"/>
        <v>40971</v>
      </c>
      <c r="R21" s="484">
        <f t="shared" si="6"/>
        <v>21824</v>
      </c>
      <c r="S21" s="484">
        <f t="shared" si="6"/>
        <v>167304</v>
      </c>
      <c r="T21" s="485">
        <f t="shared" si="6"/>
        <v>2007648</v>
      </c>
    </row>
    <row r="22" spans="1:20" x14ac:dyDescent="0.25">
      <c r="A22" s="10"/>
      <c r="B22" s="457" t="s">
        <v>820</v>
      </c>
      <c r="C22" s="208"/>
      <c r="D22" s="208"/>
      <c r="E22" s="212">
        <f t="shared" ref="E22:T22" si="7">E11+E21</f>
        <v>192159</v>
      </c>
      <c r="F22" s="212">
        <f t="shared" si="7"/>
        <v>2348</v>
      </c>
      <c r="G22" s="212">
        <f t="shared" si="7"/>
        <v>4769</v>
      </c>
      <c r="H22" s="212">
        <f t="shared" si="7"/>
        <v>4430</v>
      </c>
      <c r="I22" s="212">
        <f t="shared" si="7"/>
        <v>4607</v>
      </c>
      <c r="J22" s="212">
        <f t="shared" si="7"/>
        <v>2997</v>
      </c>
      <c r="K22" s="212">
        <f t="shared" si="7"/>
        <v>14072</v>
      </c>
      <c r="L22" s="212">
        <f t="shared" si="7"/>
        <v>4878</v>
      </c>
      <c r="M22" s="212">
        <f t="shared" si="7"/>
        <v>420</v>
      </c>
      <c r="N22" s="212">
        <f t="shared" si="7"/>
        <v>230680</v>
      </c>
      <c r="O22" s="212">
        <f t="shared" si="7"/>
        <v>20042</v>
      </c>
      <c r="P22" s="212">
        <f t="shared" si="7"/>
        <v>1306</v>
      </c>
      <c r="Q22" s="212">
        <f t="shared" si="7"/>
        <v>66473</v>
      </c>
      <c r="R22" s="212">
        <f t="shared" si="7"/>
        <v>47778</v>
      </c>
      <c r="S22" s="212">
        <f t="shared" si="7"/>
        <v>366279</v>
      </c>
      <c r="T22" s="415">
        <f t="shared" si="7"/>
        <v>4395348</v>
      </c>
    </row>
    <row r="23" spans="1:20" x14ac:dyDescent="0.25">
      <c r="A23" s="10"/>
      <c r="B23" s="145"/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</row>
    <row r="24" spans="1:20" x14ac:dyDescent="0.25">
      <c r="A24" s="10"/>
      <c r="B24" s="145"/>
      <c r="C24" s="145"/>
      <c r="D24" s="145"/>
      <c r="E24" s="145" t="s">
        <v>822</v>
      </c>
      <c r="F24" s="145"/>
      <c r="G24" s="145"/>
      <c r="H24" s="145"/>
      <c r="I24" s="145"/>
      <c r="J24" s="145"/>
      <c r="K24" s="145"/>
      <c r="L24" s="145"/>
      <c r="M24" s="145"/>
      <c r="N24" s="145"/>
      <c r="O24" s="145"/>
      <c r="P24" s="145" t="s">
        <v>823</v>
      </c>
      <c r="Q24" s="145"/>
      <c r="R24" s="145"/>
    </row>
    <row r="25" spans="1:20" x14ac:dyDescent="0.25">
      <c r="A25" s="10"/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</row>
    <row r="26" spans="1:20" x14ac:dyDescent="0.25">
      <c r="A26" s="10"/>
      <c r="B26" s="145"/>
      <c r="C26" s="145"/>
      <c r="D26" s="145"/>
      <c r="E26" s="145" t="s">
        <v>824</v>
      </c>
      <c r="F26" s="145"/>
      <c r="G26" s="145"/>
      <c r="H26" s="145"/>
      <c r="I26" s="145"/>
      <c r="J26" s="145"/>
      <c r="K26" s="145"/>
      <c r="L26" s="145"/>
      <c r="M26" s="145"/>
      <c r="N26" s="145"/>
      <c r="O26" s="145"/>
      <c r="P26" s="145" t="s">
        <v>825</v>
      </c>
      <c r="Q26" s="145"/>
      <c r="R26" s="145"/>
    </row>
    <row r="27" spans="1:20" x14ac:dyDescent="0.25">
      <c r="E27"/>
      <c r="F27"/>
      <c r="G27"/>
      <c r="H27"/>
      <c r="I27"/>
      <c r="J27"/>
      <c r="K27"/>
      <c r="L27"/>
    </row>
    <row r="28" spans="1:20" x14ac:dyDescent="0.25">
      <c r="E28" s="214">
        <f>E12+E14+E15+E16+E17+E18+E19</f>
        <v>79680</v>
      </c>
      <c r="F28" s="95" t="s">
        <v>636</v>
      </c>
      <c r="H28" s="432">
        <f>H11+H21+'расчет з.п.базового уровня'!H11+'расчет з.п.базового уровня'!H21</f>
        <v>22150</v>
      </c>
      <c r="I28" s="432">
        <f>I9+'расчет з.п.базового уровня'!I11</f>
        <v>23036</v>
      </c>
      <c r="L28" s="413">
        <f>'расчет за вредность'!N109*20%</f>
        <v>4876</v>
      </c>
      <c r="O28" s="95">
        <f>(O9+'расчет з.п.базового уровня'!N9)*12</f>
        <v>707940</v>
      </c>
    </row>
    <row r="32" spans="1:20" x14ac:dyDescent="0.25">
      <c r="E32" s="431"/>
    </row>
    <row r="33" spans="4:7" x14ac:dyDescent="0.25">
      <c r="F33" s="189">
        <f>1219</f>
        <v>1219</v>
      </c>
      <c r="G33" s="189">
        <f>F33/F34*100</f>
        <v>20.86</v>
      </c>
    </row>
    <row r="34" spans="4:7" x14ac:dyDescent="0.25">
      <c r="F34" s="189">
        <f>11686/12*6</f>
        <v>5843</v>
      </c>
    </row>
    <row r="37" spans="4:7" x14ac:dyDescent="0.25">
      <c r="D37" s="95" t="s">
        <v>668</v>
      </c>
      <c r="E37" s="95">
        <v>11686</v>
      </c>
      <c r="F37" s="95" t="s">
        <v>307</v>
      </c>
    </row>
    <row r="38" spans="4:7" x14ac:dyDescent="0.25">
      <c r="E38" s="95">
        <v>1219</v>
      </c>
      <c r="F38" s="95" t="s">
        <v>308</v>
      </c>
    </row>
    <row r="40" spans="4:7" x14ac:dyDescent="0.25">
      <c r="E40" s="189">
        <f>11686*G33%</f>
        <v>2437.6999999999998</v>
      </c>
    </row>
    <row r="41" spans="4:7" x14ac:dyDescent="0.25">
      <c r="E41" s="189">
        <f>E40*12/720</f>
        <v>40.630000000000003</v>
      </c>
      <c r="F41" s="95" t="s">
        <v>309</v>
      </c>
    </row>
  </sheetData>
  <mergeCells count="12">
    <mergeCell ref="T5:T7"/>
    <mergeCell ref="O5:Q5"/>
    <mergeCell ref="F5:M5"/>
    <mergeCell ref="B1:S1"/>
    <mergeCell ref="B2:S2"/>
    <mergeCell ref="B3:R3"/>
    <mergeCell ref="B5:B7"/>
    <mergeCell ref="C5:C7"/>
    <mergeCell ref="D5:D7"/>
    <mergeCell ref="N5:N7"/>
    <mergeCell ref="R5:R7"/>
    <mergeCell ref="S5:S7"/>
  </mergeCells>
  <phoneticPr fontId="17" type="noConversion"/>
  <pageMargins left="0.70866141732283472" right="0.70866141732283472" top="0" bottom="0" header="0" footer="0"/>
  <pageSetup paperSize="9" scale="85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topLeftCell="C1" workbookViewId="0">
      <selection activeCell="F9" sqref="F9:K9"/>
    </sheetView>
  </sheetViews>
  <sheetFormatPr defaultRowHeight="15" x14ac:dyDescent="0.25"/>
  <cols>
    <col min="1" max="1" width="2.42578125" style="95" customWidth="1"/>
    <col min="2" max="2" width="23.42578125" style="95" customWidth="1"/>
    <col min="3" max="3" width="3.5703125" style="95" customWidth="1"/>
    <col min="4" max="4" width="4.42578125" style="95" customWidth="1"/>
    <col min="5" max="5" width="11.42578125" style="95" customWidth="1"/>
    <col min="6" max="6" width="8.7109375" style="95" customWidth="1"/>
    <col min="7" max="7" width="6.85546875" style="95" customWidth="1"/>
    <col min="8" max="8" width="7" style="95" customWidth="1"/>
    <col min="9" max="9" width="7.42578125" style="95" customWidth="1"/>
    <col min="10" max="11" width="7" style="95" customWidth="1"/>
    <col min="12" max="12" width="6.42578125" style="95" customWidth="1"/>
    <col min="13" max="13" width="8.140625" style="95" customWidth="1"/>
    <col min="14" max="14" width="7.28515625" style="95" customWidth="1"/>
    <col min="15" max="15" width="6.7109375" style="95" customWidth="1"/>
    <col min="16" max="16" width="7.85546875" style="95" customWidth="1"/>
    <col min="17" max="17" width="8.5703125" style="95" customWidth="1"/>
    <col min="18" max="18" width="7.7109375" style="95" customWidth="1"/>
    <col min="19" max="19" width="10.42578125" style="95" customWidth="1"/>
  </cols>
  <sheetData>
    <row r="1" spans="1:19" x14ac:dyDescent="0.25">
      <c r="A1" s="3"/>
      <c r="B1" s="851" t="s">
        <v>306</v>
      </c>
      <c r="C1" s="851"/>
      <c r="D1" s="851"/>
      <c r="E1" s="851"/>
      <c r="F1" s="851"/>
      <c r="G1" s="851"/>
      <c r="H1" s="851"/>
      <c r="I1" s="851"/>
      <c r="J1" s="851"/>
      <c r="K1" s="851"/>
      <c r="L1" s="851"/>
      <c r="M1" s="851"/>
      <c r="N1" s="851"/>
      <c r="O1" s="851"/>
      <c r="P1" s="851"/>
      <c r="Q1" s="851"/>
      <c r="R1" s="851"/>
    </row>
    <row r="2" spans="1:19" x14ac:dyDescent="0.25">
      <c r="B2" s="860" t="s">
        <v>222</v>
      </c>
      <c r="C2" s="860"/>
      <c r="D2" s="860"/>
      <c r="E2" s="860"/>
      <c r="F2" s="860"/>
      <c r="G2" s="860"/>
      <c r="H2" s="860"/>
      <c r="I2" s="860"/>
      <c r="J2" s="860"/>
      <c r="K2" s="860"/>
      <c r="L2" s="860"/>
      <c r="M2" s="860"/>
      <c r="N2" s="860"/>
      <c r="O2" s="860"/>
      <c r="P2" s="860"/>
      <c r="Q2" s="860"/>
      <c r="R2" s="860"/>
    </row>
    <row r="3" spans="1:19" x14ac:dyDescent="0.25">
      <c r="B3" s="860" t="s">
        <v>684</v>
      </c>
      <c r="C3" s="860"/>
      <c r="D3" s="860"/>
      <c r="E3" s="860"/>
      <c r="F3" s="860"/>
      <c r="G3" s="860"/>
      <c r="H3" s="860"/>
      <c r="I3" s="860"/>
      <c r="J3" s="860"/>
      <c r="K3" s="860"/>
      <c r="L3" s="860"/>
      <c r="M3" s="860"/>
      <c r="N3" s="860"/>
      <c r="O3" s="860"/>
      <c r="P3" s="860"/>
      <c r="Q3" s="860"/>
      <c r="R3" s="95" t="s">
        <v>685</v>
      </c>
    </row>
    <row r="4" spans="1:19" x14ac:dyDescent="0.25">
      <c r="F4" s="201"/>
      <c r="G4" s="201"/>
      <c r="H4" s="201"/>
      <c r="I4" s="201"/>
    </row>
    <row r="5" spans="1:19" ht="33" customHeight="1" x14ac:dyDescent="0.25">
      <c r="B5" s="854"/>
      <c r="C5" s="855" t="s">
        <v>686</v>
      </c>
      <c r="D5" s="855" t="s">
        <v>687</v>
      </c>
      <c r="E5" s="207" t="s">
        <v>688</v>
      </c>
      <c r="F5" s="848" t="s">
        <v>297</v>
      </c>
      <c r="G5" s="849"/>
      <c r="H5" s="849"/>
      <c r="I5" s="849"/>
      <c r="J5" s="849"/>
      <c r="K5" s="849"/>
      <c r="L5" s="850"/>
      <c r="M5" s="858" t="s">
        <v>689</v>
      </c>
      <c r="N5" s="845" t="s">
        <v>224</v>
      </c>
      <c r="O5" s="846"/>
      <c r="P5" s="847"/>
      <c r="Q5" s="854" t="s">
        <v>690</v>
      </c>
      <c r="R5" s="844" t="s">
        <v>225</v>
      </c>
      <c r="S5" s="844" t="s">
        <v>119</v>
      </c>
    </row>
    <row r="6" spans="1:19" ht="87.75" customHeight="1" x14ac:dyDescent="0.25">
      <c r="B6" s="854"/>
      <c r="C6" s="856"/>
      <c r="D6" s="856"/>
      <c r="E6" s="491" t="s">
        <v>296</v>
      </c>
      <c r="F6" s="479" t="s">
        <v>292</v>
      </c>
      <c r="G6" s="479" t="s">
        <v>291</v>
      </c>
      <c r="H6" s="479" t="s">
        <v>293</v>
      </c>
      <c r="I6" s="479" t="s">
        <v>294</v>
      </c>
      <c r="J6" s="480" t="s">
        <v>295</v>
      </c>
      <c r="K6" s="481" t="s">
        <v>302</v>
      </c>
      <c r="L6" s="481" t="s">
        <v>303</v>
      </c>
      <c r="M6" s="858"/>
      <c r="N6" s="477" t="s">
        <v>813</v>
      </c>
      <c r="O6" s="414" t="s">
        <v>300</v>
      </c>
      <c r="P6" s="414" t="s">
        <v>301</v>
      </c>
      <c r="Q6" s="854"/>
      <c r="R6" s="844"/>
      <c r="S6" s="844"/>
    </row>
    <row r="7" spans="1:19" ht="71.25" customHeight="1" x14ac:dyDescent="0.25">
      <c r="B7" s="854"/>
      <c r="C7" s="857"/>
      <c r="D7" s="857"/>
      <c r="E7" s="451" t="s">
        <v>126</v>
      </c>
      <c r="F7" s="452" t="s">
        <v>127</v>
      </c>
      <c r="G7" s="452" t="s">
        <v>128</v>
      </c>
      <c r="H7" s="452" t="s">
        <v>129</v>
      </c>
      <c r="I7" s="452" t="s">
        <v>130</v>
      </c>
      <c r="J7" s="453" t="s">
        <v>131</v>
      </c>
      <c r="K7" s="454"/>
      <c r="L7" s="454" t="s">
        <v>304</v>
      </c>
      <c r="M7" s="858"/>
      <c r="N7" s="174"/>
      <c r="O7" s="174"/>
      <c r="P7" s="174"/>
      <c r="Q7" s="854"/>
      <c r="R7" s="844"/>
      <c r="S7" s="844"/>
    </row>
    <row r="8" spans="1:19" x14ac:dyDescent="0.25">
      <c r="B8" s="200">
        <v>1</v>
      </c>
      <c r="C8" s="200"/>
      <c r="D8" s="200"/>
      <c r="E8" s="204">
        <v>2</v>
      </c>
      <c r="F8" s="204">
        <v>3</v>
      </c>
      <c r="G8" s="204">
        <v>4</v>
      </c>
      <c r="H8" s="204">
        <v>5</v>
      </c>
      <c r="I8" s="204">
        <v>6</v>
      </c>
      <c r="J8" s="210">
        <v>7</v>
      </c>
      <c r="K8" s="210">
        <v>8</v>
      </c>
      <c r="L8" s="210">
        <v>9</v>
      </c>
      <c r="M8" s="204">
        <v>10</v>
      </c>
      <c r="N8" s="204">
        <v>11</v>
      </c>
      <c r="O8" s="204">
        <v>12</v>
      </c>
      <c r="P8" s="204">
        <v>13</v>
      </c>
      <c r="Q8" s="204">
        <v>14</v>
      </c>
      <c r="R8" s="204">
        <v>15</v>
      </c>
      <c r="S8" s="124">
        <v>16</v>
      </c>
    </row>
    <row r="9" spans="1:19" ht="27.2" customHeight="1" x14ac:dyDescent="0.25">
      <c r="B9" s="204" t="s">
        <v>865</v>
      </c>
      <c r="C9" s="205"/>
      <c r="D9" s="205"/>
      <c r="E9" s="114">
        <f>5780/720*48602</f>
        <v>390166.06</v>
      </c>
      <c r="F9" s="114">
        <f>5780*E40%</f>
        <v>8230.7199999999993</v>
      </c>
      <c r="G9" s="205">
        <f>16900.75</f>
        <v>16901</v>
      </c>
      <c r="H9" s="205">
        <f>((5780*29+5360*2)*12%)*80%</f>
        <v>17121</v>
      </c>
      <c r="I9" s="205">
        <f>((5780*19+5360)*20%)*80%</f>
        <v>18429</v>
      </c>
      <c r="J9" s="206">
        <f>((5780*4)*30%+(5780)*20%+(5780*11)*10%+(5360)*10%)*80%</f>
        <v>11989</v>
      </c>
      <c r="K9" s="206">
        <f>'расчет за вредность'!O117*80%</f>
        <v>10067</v>
      </c>
      <c r="L9" s="455"/>
      <c r="M9" s="206">
        <f>E9+F9+G9+H9+I9+J9+K9+L9</f>
        <v>472904</v>
      </c>
      <c r="N9" s="206">
        <f>46235.73</f>
        <v>46236</v>
      </c>
      <c r="O9" s="203">
        <v>396</v>
      </c>
      <c r="P9" s="206">
        <f>M9*30%-N9-O9</f>
        <v>95239</v>
      </c>
      <c r="Q9" s="205">
        <f>(M9+N9+O9+P9)*15%</f>
        <v>92216</v>
      </c>
      <c r="R9" s="412">
        <f>M9+N9+O9+P9+Q9</f>
        <v>706991</v>
      </c>
      <c r="S9" s="469">
        <f>R9*12</f>
        <v>8483892</v>
      </c>
    </row>
    <row r="10" spans="1:19" ht="15" customHeight="1" x14ac:dyDescent="0.25">
      <c r="A10" s="145"/>
      <c r="B10" s="204" t="s">
        <v>121</v>
      </c>
      <c r="C10" s="205"/>
      <c r="D10" s="205"/>
      <c r="E10" s="114">
        <f>14432</f>
        <v>14432</v>
      </c>
      <c r="F10" s="205"/>
      <c r="G10" s="205"/>
      <c r="H10" s="205"/>
      <c r="I10" s="205"/>
      <c r="J10" s="455"/>
      <c r="K10" s="213">
        <f>'расчет за вредность'!O116*80%</f>
        <v>328</v>
      </c>
      <c r="L10" s="455"/>
      <c r="M10" s="206">
        <f>E10+F10+G10+H10+I10+J10+K10+L10</f>
        <v>14760</v>
      </c>
      <c r="N10" s="206">
        <f>1443.2</f>
        <v>1443</v>
      </c>
      <c r="O10" s="206"/>
      <c r="P10" s="206">
        <f>M10*30%-N10-O10</f>
        <v>2985</v>
      </c>
      <c r="Q10" s="205">
        <f t="shared" ref="Q10:Q19" si="0">(M10+N10+O10+P10)*15%</f>
        <v>2878</v>
      </c>
      <c r="R10" s="412">
        <f t="shared" ref="R10:R19" si="1">M10+N10+O10+P10+Q10</f>
        <v>22066</v>
      </c>
      <c r="S10" s="469">
        <f t="shared" ref="S10:S20" si="2">R10*12</f>
        <v>264792</v>
      </c>
    </row>
    <row r="11" spans="1:19" ht="24.75" customHeight="1" x14ac:dyDescent="0.25">
      <c r="A11" s="145"/>
      <c r="B11" s="417" t="s">
        <v>221</v>
      </c>
      <c r="C11" s="418"/>
      <c r="D11" s="418"/>
      <c r="E11" s="418">
        <f>E9+E10</f>
        <v>404598</v>
      </c>
      <c r="F11" s="418">
        <f t="shared" ref="F11:S11" si="3">F9+F10</f>
        <v>8231</v>
      </c>
      <c r="G11" s="418">
        <f t="shared" si="3"/>
        <v>16901</v>
      </c>
      <c r="H11" s="418">
        <f t="shared" si="3"/>
        <v>17121</v>
      </c>
      <c r="I11" s="418">
        <f t="shared" si="3"/>
        <v>18429</v>
      </c>
      <c r="J11" s="418">
        <f t="shared" si="3"/>
        <v>11989</v>
      </c>
      <c r="K11" s="418">
        <f t="shared" si="3"/>
        <v>10395</v>
      </c>
      <c r="L11" s="418">
        <f t="shared" si="3"/>
        <v>0</v>
      </c>
      <c r="M11" s="418">
        <f>M9+M10</f>
        <v>487664</v>
      </c>
      <c r="N11" s="418">
        <f t="shared" si="3"/>
        <v>47679</v>
      </c>
      <c r="O11" s="418">
        <f t="shared" si="3"/>
        <v>396</v>
      </c>
      <c r="P11" s="418">
        <f t="shared" si="3"/>
        <v>98224</v>
      </c>
      <c r="Q11" s="418">
        <f t="shared" si="3"/>
        <v>95094</v>
      </c>
      <c r="R11" s="418">
        <f t="shared" si="3"/>
        <v>729057</v>
      </c>
      <c r="S11" s="472">
        <f t="shared" si="3"/>
        <v>8748684</v>
      </c>
    </row>
    <row r="12" spans="1:19" ht="18.75" customHeight="1" x14ac:dyDescent="0.25">
      <c r="B12" s="204" t="s">
        <v>814</v>
      </c>
      <c r="C12" s="204"/>
      <c r="D12" s="204"/>
      <c r="E12" s="205">
        <f>86000</f>
        <v>86000</v>
      </c>
      <c r="F12" s="205"/>
      <c r="G12" s="205"/>
      <c r="H12" s="205"/>
      <c r="I12" s="205"/>
      <c r="J12" s="206"/>
      <c r="K12" s="203">
        <f>'расчет за вредность'!O108*80%</f>
        <v>3440</v>
      </c>
      <c r="L12" s="206"/>
      <c r="M12" s="206">
        <f t="shared" ref="M12:M19" si="4">E12+F12+G12+H12+I12+J12+K12+L12</f>
        <v>89440</v>
      </c>
      <c r="N12" s="205">
        <f>15300</f>
        <v>15300</v>
      </c>
      <c r="O12" s="206"/>
      <c r="P12" s="206">
        <f>E12</f>
        <v>86000</v>
      </c>
      <c r="Q12" s="205">
        <f t="shared" si="0"/>
        <v>28611</v>
      </c>
      <c r="R12" s="412">
        <f>M12+N12+O12+P12+Q12</f>
        <v>219351</v>
      </c>
      <c r="S12" s="469">
        <f t="shared" si="2"/>
        <v>2632212</v>
      </c>
    </row>
    <row r="13" spans="1:19" ht="30.95" customHeight="1" x14ac:dyDescent="0.25">
      <c r="A13" s="145"/>
      <c r="B13" s="204" t="s">
        <v>120</v>
      </c>
      <c r="C13" s="204"/>
      <c r="D13" s="204"/>
      <c r="E13" s="205">
        <f>60232</f>
        <v>60232</v>
      </c>
      <c r="F13" s="205"/>
      <c r="G13" s="205"/>
      <c r="H13" s="203">
        <f>6240*12%*80%</f>
        <v>599</v>
      </c>
      <c r="I13" s="203"/>
      <c r="J13" s="206"/>
      <c r="K13" s="203">
        <f>'расчет за вредность'!O109*80%</f>
        <v>2359</v>
      </c>
      <c r="L13" s="206"/>
      <c r="M13" s="206">
        <f t="shared" si="4"/>
        <v>63190</v>
      </c>
      <c r="N13" s="205">
        <f>6665.6</f>
        <v>6666</v>
      </c>
      <c r="O13" s="206"/>
      <c r="P13" s="206">
        <f>M13*30%-N13-O13</f>
        <v>12291</v>
      </c>
      <c r="Q13" s="205">
        <f>(M13+N13+O13+P13)*15%</f>
        <v>12322</v>
      </c>
      <c r="R13" s="412">
        <f>M13+N13+O13+P13+Q13</f>
        <v>94469</v>
      </c>
      <c r="S13" s="469">
        <f>R13*12</f>
        <v>1133628</v>
      </c>
    </row>
    <row r="14" spans="1:19" ht="29.25" customHeight="1" x14ac:dyDescent="0.25">
      <c r="A14" s="145"/>
      <c r="B14" s="204" t="s">
        <v>815</v>
      </c>
      <c r="C14" s="204"/>
      <c r="D14" s="204"/>
      <c r="E14" s="205">
        <v>5360</v>
      </c>
      <c r="F14" s="205"/>
      <c r="G14" s="205"/>
      <c r="H14" s="205"/>
      <c r="I14" s="205"/>
      <c r="J14" s="455"/>
      <c r="K14" s="213">
        <f>'расчет за вредность'!O110*80%</f>
        <v>214</v>
      </c>
      <c r="L14" s="455"/>
      <c r="M14" s="206">
        <f t="shared" si="4"/>
        <v>5574</v>
      </c>
      <c r="N14" s="205">
        <v>0</v>
      </c>
      <c r="O14" s="206"/>
      <c r="P14" s="206">
        <f t="shared" ref="P14:P19" si="5">M14*30%-N14-O14</f>
        <v>1672</v>
      </c>
      <c r="Q14" s="205">
        <f t="shared" si="0"/>
        <v>1087</v>
      </c>
      <c r="R14" s="412">
        <f t="shared" si="1"/>
        <v>8333</v>
      </c>
      <c r="S14" s="469">
        <f t="shared" si="2"/>
        <v>99996</v>
      </c>
    </row>
    <row r="15" spans="1:19" ht="39" x14ac:dyDescent="0.25">
      <c r="A15" s="145"/>
      <c r="B15" s="204" t="s">
        <v>816</v>
      </c>
      <c r="C15" s="204"/>
      <c r="D15" s="204"/>
      <c r="E15" s="205">
        <v>44736</v>
      </c>
      <c r="F15" s="203"/>
      <c r="G15" s="203"/>
      <c r="H15" s="203"/>
      <c r="I15" s="203"/>
      <c r="J15" s="203"/>
      <c r="K15" s="213">
        <f>'расчет за вредность'!O111*80%</f>
        <v>356</v>
      </c>
      <c r="L15" s="213">
        <f>600*2*80%</f>
        <v>960</v>
      </c>
      <c r="M15" s="206">
        <f t="shared" si="4"/>
        <v>46052</v>
      </c>
      <c r="N15" s="205">
        <v>5726</v>
      </c>
      <c r="O15" s="203"/>
      <c r="P15" s="206">
        <f t="shared" si="5"/>
        <v>8090</v>
      </c>
      <c r="Q15" s="205">
        <f t="shared" si="0"/>
        <v>8980</v>
      </c>
      <c r="R15" s="412">
        <f t="shared" si="1"/>
        <v>68848</v>
      </c>
      <c r="S15" s="469">
        <f t="shared" si="2"/>
        <v>826176</v>
      </c>
    </row>
    <row r="16" spans="1:19" x14ac:dyDescent="0.25">
      <c r="A16" s="145"/>
      <c r="B16" s="204" t="s">
        <v>817</v>
      </c>
      <c r="C16" s="200"/>
      <c r="D16" s="200"/>
      <c r="E16" s="202">
        <v>82928</v>
      </c>
      <c r="F16" s="124"/>
      <c r="G16" s="124"/>
      <c r="H16" s="124"/>
      <c r="I16" s="124"/>
      <c r="J16" s="124"/>
      <c r="K16" s="213">
        <f>'расчет за вредность'!O112*80%</f>
        <v>1086</v>
      </c>
      <c r="L16" s="124"/>
      <c r="M16" s="206">
        <f t="shared" si="4"/>
        <v>84014</v>
      </c>
      <c r="N16" s="205">
        <v>0</v>
      </c>
      <c r="O16" s="124"/>
      <c r="P16" s="206">
        <f t="shared" si="5"/>
        <v>25204</v>
      </c>
      <c r="Q16" s="205">
        <f t="shared" si="0"/>
        <v>16383</v>
      </c>
      <c r="R16" s="412">
        <f t="shared" si="1"/>
        <v>125601</v>
      </c>
      <c r="S16" s="469">
        <f t="shared" si="2"/>
        <v>1507212</v>
      </c>
    </row>
    <row r="17" spans="1:19" x14ac:dyDescent="0.25">
      <c r="A17" s="145"/>
      <c r="B17" s="204" t="s">
        <v>818</v>
      </c>
      <c r="C17" s="200"/>
      <c r="D17" s="200"/>
      <c r="E17" s="202">
        <v>4288</v>
      </c>
      <c r="F17" s="124"/>
      <c r="G17" s="213">
        <f>801.46*8/12</f>
        <v>534</v>
      </c>
      <c r="H17" s="124"/>
      <c r="I17" s="124"/>
      <c r="J17" s="124"/>
      <c r="K17" s="213">
        <f>'расчет за вредность'!O113*80%</f>
        <v>172</v>
      </c>
      <c r="L17" s="124"/>
      <c r="M17" s="206">
        <f t="shared" si="4"/>
        <v>4994</v>
      </c>
      <c r="N17" s="205">
        <v>0</v>
      </c>
      <c r="O17" s="124"/>
      <c r="P17" s="206">
        <f t="shared" si="5"/>
        <v>1498</v>
      </c>
      <c r="Q17" s="205">
        <f t="shared" si="0"/>
        <v>974</v>
      </c>
      <c r="R17" s="412">
        <f t="shared" si="1"/>
        <v>7466</v>
      </c>
      <c r="S17" s="469">
        <f t="shared" si="2"/>
        <v>89592</v>
      </c>
    </row>
    <row r="18" spans="1:19" x14ac:dyDescent="0.25">
      <c r="A18" s="145"/>
      <c r="B18" s="204" t="s">
        <v>819</v>
      </c>
      <c r="C18" s="200"/>
      <c r="D18" s="200"/>
      <c r="E18" s="456">
        <v>13568</v>
      </c>
      <c r="F18" s="124"/>
      <c r="G18" s="124"/>
      <c r="H18" s="124"/>
      <c r="I18" s="124"/>
      <c r="J18" s="124"/>
      <c r="K18" s="213">
        <f>'расчет за вредность'!O114*80%</f>
        <v>543</v>
      </c>
      <c r="L18" s="124"/>
      <c r="M18" s="206">
        <f t="shared" si="4"/>
        <v>14111</v>
      </c>
      <c r="N18" s="213">
        <v>0</v>
      </c>
      <c r="O18" s="124"/>
      <c r="P18" s="206">
        <f t="shared" si="5"/>
        <v>4233</v>
      </c>
      <c r="Q18" s="205">
        <f t="shared" si="0"/>
        <v>2752</v>
      </c>
      <c r="R18" s="412">
        <f t="shared" si="1"/>
        <v>21096</v>
      </c>
      <c r="S18" s="469">
        <f t="shared" si="2"/>
        <v>253152</v>
      </c>
    </row>
    <row r="19" spans="1:19" x14ac:dyDescent="0.25">
      <c r="A19" s="145"/>
      <c r="B19" s="457" t="s">
        <v>735</v>
      </c>
      <c r="C19" s="457"/>
      <c r="D19" s="457"/>
      <c r="E19" s="456">
        <v>81840</v>
      </c>
      <c r="F19" s="124"/>
      <c r="G19" s="124"/>
      <c r="H19" s="124"/>
      <c r="I19" s="124"/>
      <c r="J19" s="124"/>
      <c r="K19" s="213">
        <f>'расчет за вредность'!O115*80%</f>
        <v>940</v>
      </c>
      <c r="L19" s="475">
        <f>225.14*4*80%</f>
        <v>720</v>
      </c>
      <c r="M19" s="206">
        <f t="shared" si="4"/>
        <v>83500</v>
      </c>
      <c r="N19" s="213">
        <v>0</v>
      </c>
      <c r="O19" s="124"/>
      <c r="P19" s="206">
        <f t="shared" si="5"/>
        <v>25050</v>
      </c>
      <c r="Q19" s="205">
        <f t="shared" si="0"/>
        <v>16283</v>
      </c>
      <c r="R19" s="412">
        <f t="shared" si="1"/>
        <v>124833</v>
      </c>
      <c r="S19" s="469">
        <f t="shared" si="2"/>
        <v>1497996</v>
      </c>
    </row>
    <row r="20" spans="1:19" x14ac:dyDescent="0.25">
      <c r="A20" s="145"/>
      <c r="B20" s="620" t="s">
        <v>734</v>
      </c>
      <c r="C20" s="457"/>
      <c r="D20" s="457"/>
      <c r="E20" s="456">
        <f>6400</f>
        <v>6400</v>
      </c>
      <c r="F20" s="124"/>
      <c r="G20" s="124"/>
      <c r="H20" s="124"/>
      <c r="I20" s="124"/>
      <c r="J20" s="124"/>
      <c r="K20" s="213">
        <f>('расчет за вредность'!N31+'расчет за вредность'!N32+'расчет за вредность'!N33+'расчет за вредность'!N34)*80%</f>
        <v>256</v>
      </c>
      <c r="L20" s="475">
        <f>225.14*4*80%</f>
        <v>720</v>
      </c>
      <c r="M20" s="206">
        <f>E20+F20+G20+H20+I20+J20+K20+L20</f>
        <v>7376</v>
      </c>
      <c r="N20" s="213">
        <v>0</v>
      </c>
      <c r="O20" s="124"/>
      <c r="P20" s="206">
        <f>M20*30%-N20-O20</f>
        <v>2213</v>
      </c>
      <c r="Q20" s="205">
        <f>(M20+N20+O20+P20)*15%</f>
        <v>1438</v>
      </c>
      <c r="R20" s="412">
        <f>M20+N20+O20+P20+Q20</f>
        <v>11027</v>
      </c>
      <c r="S20" s="469">
        <f t="shared" si="2"/>
        <v>132324</v>
      </c>
    </row>
    <row r="21" spans="1:19" ht="31.5" x14ac:dyDescent="0.25">
      <c r="A21" s="145"/>
      <c r="B21" s="482" t="s">
        <v>220</v>
      </c>
      <c r="C21" s="458"/>
      <c r="D21" s="458"/>
      <c r="E21" s="459">
        <f>E12+E13+E14+E15+E16+E17+E18+E19</f>
        <v>378952</v>
      </c>
      <c r="F21" s="459">
        <f t="shared" ref="F21:S21" si="6">F12+F13+F14+F15+F16+F17+F18+F19</f>
        <v>0</v>
      </c>
      <c r="G21" s="459">
        <f t="shared" si="6"/>
        <v>534</v>
      </c>
      <c r="H21" s="459">
        <f t="shared" si="6"/>
        <v>599</v>
      </c>
      <c r="I21" s="459">
        <f t="shared" si="6"/>
        <v>0</v>
      </c>
      <c r="J21" s="459">
        <f t="shared" si="6"/>
        <v>0</v>
      </c>
      <c r="K21" s="459">
        <f t="shared" si="6"/>
        <v>9110</v>
      </c>
      <c r="L21" s="459">
        <f t="shared" si="6"/>
        <v>1680</v>
      </c>
      <c r="M21" s="459">
        <f t="shared" si="6"/>
        <v>390875</v>
      </c>
      <c r="N21" s="459">
        <f t="shared" si="6"/>
        <v>27692</v>
      </c>
      <c r="O21" s="459">
        <f t="shared" si="6"/>
        <v>0</v>
      </c>
      <c r="P21" s="459">
        <f t="shared" si="6"/>
        <v>164038</v>
      </c>
      <c r="Q21" s="459">
        <f t="shared" si="6"/>
        <v>87392</v>
      </c>
      <c r="R21" s="459">
        <f t="shared" si="6"/>
        <v>669997</v>
      </c>
      <c r="S21" s="473">
        <f t="shared" si="6"/>
        <v>8039964</v>
      </c>
    </row>
    <row r="22" spans="1:19" x14ac:dyDescent="0.25">
      <c r="B22" s="460" t="s">
        <v>820</v>
      </c>
      <c r="C22" s="461">
        <f>C9+C10+C12+C14+C15+C16+C17+C18+C19</f>
        <v>0</v>
      </c>
      <c r="D22" s="461">
        <f>D9+D10+D12+D14+D15+D16+D17+D18+D19</f>
        <v>0</v>
      </c>
      <c r="E22" s="461">
        <f>E11+E21</f>
        <v>783550</v>
      </c>
      <c r="F22" s="461">
        <f t="shared" ref="F22:R22" si="7">F11+F21</f>
        <v>8231</v>
      </c>
      <c r="G22" s="461">
        <f t="shared" si="7"/>
        <v>17435</v>
      </c>
      <c r="H22" s="461">
        <f t="shared" si="7"/>
        <v>17720</v>
      </c>
      <c r="I22" s="461">
        <f t="shared" si="7"/>
        <v>18429</v>
      </c>
      <c r="J22" s="461">
        <f t="shared" si="7"/>
        <v>11989</v>
      </c>
      <c r="K22" s="461">
        <f t="shared" si="7"/>
        <v>19505</v>
      </c>
      <c r="L22" s="461">
        <f t="shared" si="7"/>
        <v>1680</v>
      </c>
      <c r="M22" s="461">
        <f t="shared" si="7"/>
        <v>878539</v>
      </c>
      <c r="N22" s="461">
        <f t="shared" si="7"/>
        <v>75371</v>
      </c>
      <c r="O22" s="461">
        <f t="shared" si="7"/>
        <v>396</v>
      </c>
      <c r="P22" s="461">
        <f t="shared" si="7"/>
        <v>262262</v>
      </c>
      <c r="Q22" s="461">
        <f t="shared" si="7"/>
        <v>182486</v>
      </c>
      <c r="R22" s="461">
        <f t="shared" si="7"/>
        <v>1399054</v>
      </c>
      <c r="S22" s="474">
        <f>S11+S21</f>
        <v>16788648</v>
      </c>
    </row>
    <row r="24" spans="1:19" x14ac:dyDescent="0.25">
      <c r="E24" s="3" t="s">
        <v>822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 t="s">
        <v>823</v>
      </c>
      <c r="Q24" s="3"/>
    </row>
    <row r="25" spans="1:19" x14ac:dyDescent="0.25"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9" x14ac:dyDescent="0.25">
      <c r="E26" s="3" t="s">
        <v>824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 t="s">
        <v>825</v>
      </c>
      <c r="Q26" s="3"/>
    </row>
    <row r="27" spans="1:19" x14ac:dyDescent="0.25">
      <c r="E27"/>
      <c r="F27"/>
      <c r="G27"/>
      <c r="H27"/>
      <c r="I27"/>
      <c r="J27"/>
      <c r="K27"/>
      <c r="L27"/>
    </row>
    <row r="28" spans="1:19" x14ac:dyDescent="0.25">
      <c r="J28" s="206">
        <f>(5780*4)*30%+(5780)*20%+(5780*11)*10%+(5360)*10%</f>
        <v>14986</v>
      </c>
    </row>
    <row r="29" spans="1:19" x14ac:dyDescent="0.25">
      <c r="J29" s="462">
        <f>'расчет з.п.повышенного уровня'!J22+'расчет з.п.базового уровня'!J22</f>
        <v>14986</v>
      </c>
      <c r="K29" s="463">
        <f>'расчет за вредность'!N109*80%</f>
        <v>19505</v>
      </c>
    </row>
    <row r="32" spans="1:19" x14ac:dyDescent="0.25">
      <c r="F32" s="189">
        <v>4273</v>
      </c>
      <c r="G32" s="189">
        <f>F32/F33*100</f>
        <v>17.579999999999998</v>
      </c>
    </row>
    <row r="33" spans="4:6" x14ac:dyDescent="0.25">
      <c r="F33" s="189">
        <f>48602/12*6</f>
        <v>24301</v>
      </c>
    </row>
    <row r="36" spans="4:6" x14ac:dyDescent="0.25">
      <c r="D36" s="95" t="s">
        <v>668</v>
      </c>
      <c r="E36" s="95">
        <v>48602</v>
      </c>
      <c r="F36" s="95" t="s">
        <v>307</v>
      </c>
    </row>
    <row r="37" spans="4:6" x14ac:dyDescent="0.25">
      <c r="E37" s="189">
        <f>F32</f>
        <v>4273</v>
      </c>
      <c r="F37" s="95" t="s">
        <v>308</v>
      </c>
    </row>
    <row r="39" spans="4:6" x14ac:dyDescent="0.25">
      <c r="E39" s="189">
        <f>E36*G32%</f>
        <v>8544.23</v>
      </c>
    </row>
    <row r="40" spans="4:6" x14ac:dyDescent="0.25">
      <c r="E40" s="189">
        <f>E39*12/720</f>
        <v>142.4</v>
      </c>
      <c r="F40" s="95" t="s">
        <v>309</v>
      </c>
    </row>
  </sheetData>
  <mergeCells count="12">
    <mergeCell ref="S5:S7"/>
    <mergeCell ref="R5:R7"/>
    <mergeCell ref="F5:L5"/>
    <mergeCell ref="N5:P5"/>
    <mergeCell ref="B1:R1"/>
    <mergeCell ref="B2:R2"/>
    <mergeCell ref="B3:Q3"/>
    <mergeCell ref="B5:B7"/>
    <mergeCell ref="C5:C7"/>
    <mergeCell ref="D5:D7"/>
    <mergeCell ref="M5:M7"/>
    <mergeCell ref="Q5:Q7"/>
  </mergeCells>
  <phoneticPr fontId="17" type="noConversion"/>
  <pageMargins left="0.70866141732283472" right="0.70866141732283472" top="0.74803149606299213" bottom="0" header="0.31496062992125984" footer="0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C4" sqref="C4"/>
    </sheetView>
  </sheetViews>
  <sheetFormatPr defaultRowHeight="15" x14ac:dyDescent="0.25"/>
  <cols>
    <col min="1" max="1" width="36.5703125" customWidth="1"/>
    <col min="2" max="2" width="20.42578125" customWidth="1"/>
    <col min="3" max="3" width="20.28515625" customWidth="1"/>
  </cols>
  <sheetData>
    <row r="1" spans="1:4" ht="62.25" customHeight="1" x14ac:dyDescent="0.25">
      <c r="A1" s="789" t="s">
        <v>753</v>
      </c>
      <c r="B1" s="790"/>
      <c r="C1" s="790"/>
    </row>
    <row r="3" spans="1:4" ht="60.75" customHeight="1" x14ac:dyDescent="0.25">
      <c r="A3" s="793" t="s">
        <v>730</v>
      </c>
      <c r="B3" s="791" t="s">
        <v>731</v>
      </c>
      <c r="C3" s="576" t="s">
        <v>751</v>
      </c>
    </row>
    <row r="4" spans="1:4" x14ac:dyDescent="0.25">
      <c r="A4" s="794"/>
      <c r="B4" s="792"/>
      <c r="C4" s="73" t="s">
        <v>668</v>
      </c>
    </row>
    <row r="5" spans="1:4" ht="25.5" customHeight="1" x14ac:dyDescent="0.25">
      <c r="A5" s="121" t="s">
        <v>253</v>
      </c>
      <c r="B5" s="714">
        <f>2895885*10%</f>
        <v>289588.5</v>
      </c>
      <c r="C5" s="714">
        <f>'290,012004 недофинанс'!C5</f>
        <v>333478</v>
      </c>
    </row>
    <row r="6" spans="1:4" ht="21.75" customHeight="1" x14ac:dyDescent="0.25">
      <c r="A6" s="73" t="s">
        <v>828</v>
      </c>
      <c r="B6" s="717">
        <f>B5</f>
        <v>289588.5</v>
      </c>
      <c r="C6" s="717">
        <f>C5</f>
        <v>333478</v>
      </c>
    </row>
    <row r="9" spans="1:4" ht="21" customHeight="1" x14ac:dyDescent="0.25">
      <c r="A9" s="576" t="s">
        <v>249</v>
      </c>
      <c r="B9" s="715" t="s">
        <v>252</v>
      </c>
      <c r="C9" s="717">
        <f>C6-B6</f>
        <v>43889.5</v>
      </c>
    </row>
    <row r="13" spans="1:4" x14ac:dyDescent="0.25">
      <c r="A13" s="64" t="s">
        <v>824</v>
      </c>
      <c r="C13" s="509" t="s">
        <v>825</v>
      </c>
      <c r="D13" s="509"/>
    </row>
    <row r="14" spans="1:4" x14ac:dyDescent="0.25">
      <c r="A14" s="68"/>
      <c r="C14" s="68"/>
      <c r="D14" s="68"/>
    </row>
    <row r="15" spans="1:4" x14ac:dyDescent="0.25">
      <c r="A15" s="64" t="s">
        <v>99</v>
      </c>
      <c r="C15" s="64" t="s">
        <v>897</v>
      </c>
      <c r="D15" s="64"/>
    </row>
  </sheetData>
  <mergeCells count="3">
    <mergeCell ref="A1:C1"/>
    <mergeCell ref="A3:A4"/>
    <mergeCell ref="B3:B4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topLeftCell="C7" workbookViewId="0">
      <selection activeCell="Q12" sqref="Q12"/>
    </sheetView>
  </sheetViews>
  <sheetFormatPr defaultRowHeight="15" x14ac:dyDescent="0.25"/>
  <cols>
    <col min="1" max="1" width="2.42578125" style="3" customWidth="1"/>
    <col min="2" max="2" width="23.42578125" style="3" customWidth="1"/>
    <col min="3" max="3" width="3.5703125" style="3" customWidth="1"/>
    <col min="4" max="4" width="4.42578125" style="3" customWidth="1"/>
    <col min="5" max="5" width="11.42578125" style="3" customWidth="1"/>
    <col min="6" max="6" width="8.7109375" style="3" customWidth="1"/>
    <col min="7" max="7" width="6.85546875" style="3" customWidth="1"/>
    <col min="8" max="8" width="7" style="3" customWidth="1"/>
    <col min="9" max="9" width="7.42578125" style="3" customWidth="1"/>
    <col min="10" max="12" width="7" style="3" customWidth="1"/>
    <col min="13" max="13" width="6.42578125" style="3" customWidth="1"/>
    <col min="14" max="14" width="8.140625" style="3" customWidth="1"/>
    <col min="15" max="15" width="7.28515625" style="3" customWidth="1"/>
    <col min="16" max="16" width="6.7109375" style="3" customWidth="1"/>
    <col min="17" max="17" width="7.85546875" style="3" customWidth="1"/>
    <col min="18" max="18" width="8.5703125" style="3" customWidth="1"/>
    <col min="19" max="19" width="7.7109375" style="3" customWidth="1"/>
    <col min="20" max="20" width="8.140625" style="3" customWidth="1"/>
  </cols>
  <sheetData>
    <row r="1" spans="2:20" x14ac:dyDescent="0.25">
      <c r="B1" s="851" t="s">
        <v>513</v>
      </c>
      <c r="C1" s="851"/>
      <c r="D1" s="851"/>
      <c r="E1" s="851"/>
      <c r="F1" s="851"/>
      <c r="G1" s="851"/>
      <c r="H1" s="851"/>
      <c r="I1" s="851"/>
      <c r="J1" s="851"/>
      <c r="K1" s="851"/>
      <c r="L1" s="851"/>
      <c r="M1" s="851"/>
      <c r="N1" s="851"/>
      <c r="O1" s="851"/>
      <c r="P1" s="851"/>
      <c r="Q1" s="851"/>
      <c r="R1" s="851"/>
      <c r="S1" s="851"/>
    </row>
    <row r="2" spans="2:20" x14ac:dyDescent="0.25">
      <c r="B2" s="852" t="s">
        <v>222</v>
      </c>
      <c r="C2" s="852"/>
      <c r="D2" s="852"/>
      <c r="E2" s="852"/>
      <c r="F2" s="852"/>
      <c r="G2" s="852"/>
      <c r="H2" s="852"/>
      <c r="I2" s="852"/>
      <c r="J2" s="852"/>
      <c r="K2" s="852"/>
      <c r="L2" s="852"/>
      <c r="M2" s="852"/>
      <c r="N2" s="852"/>
      <c r="O2" s="852"/>
      <c r="P2" s="852"/>
      <c r="Q2" s="852"/>
      <c r="R2" s="852"/>
      <c r="S2" s="852"/>
    </row>
    <row r="3" spans="2:20" x14ac:dyDescent="0.25">
      <c r="B3" s="852" t="s">
        <v>684</v>
      </c>
      <c r="C3" s="852"/>
      <c r="D3" s="852"/>
      <c r="E3" s="852"/>
      <c r="F3" s="852"/>
      <c r="G3" s="852"/>
      <c r="H3" s="852"/>
      <c r="I3" s="852"/>
      <c r="J3" s="852"/>
      <c r="K3" s="852"/>
      <c r="L3" s="852"/>
      <c r="M3" s="852"/>
      <c r="N3" s="852"/>
      <c r="O3" s="852"/>
      <c r="P3" s="852"/>
      <c r="Q3" s="852"/>
      <c r="R3" s="852"/>
      <c r="S3" s="3" t="s">
        <v>685</v>
      </c>
    </row>
    <row r="4" spans="2:20" x14ac:dyDescent="0.25">
      <c r="F4" s="201"/>
      <c r="G4" s="201"/>
      <c r="H4" s="201"/>
      <c r="I4" s="201"/>
    </row>
    <row r="5" spans="2:20" ht="33" customHeight="1" x14ac:dyDescent="0.25">
      <c r="B5" s="854"/>
      <c r="C5" s="855" t="s">
        <v>686</v>
      </c>
      <c r="D5" s="855" t="s">
        <v>687</v>
      </c>
      <c r="E5" s="207" t="s">
        <v>688</v>
      </c>
      <c r="F5" s="848" t="s">
        <v>297</v>
      </c>
      <c r="G5" s="849"/>
      <c r="H5" s="849"/>
      <c r="I5" s="849"/>
      <c r="J5" s="849"/>
      <c r="K5" s="849"/>
      <c r="L5" s="849"/>
      <c r="M5" s="850"/>
      <c r="N5" s="858" t="s">
        <v>689</v>
      </c>
      <c r="O5" s="845" t="s">
        <v>224</v>
      </c>
      <c r="P5" s="846"/>
      <c r="Q5" s="847"/>
      <c r="R5" s="854" t="s">
        <v>690</v>
      </c>
      <c r="S5" s="844" t="s">
        <v>225</v>
      </c>
      <c r="T5" s="844" t="s">
        <v>119</v>
      </c>
    </row>
    <row r="6" spans="2:20" ht="87.75" customHeight="1" x14ac:dyDescent="0.25">
      <c r="B6" s="854"/>
      <c r="C6" s="856"/>
      <c r="D6" s="856"/>
      <c r="E6" s="491" t="s">
        <v>296</v>
      </c>
      <c r="F6" s="479" t="s">
        <v>292</v>
      </c>
      <c r="G6" s="479" t="s">
        <v>291</v>
      </c>
      <c r="H6" s="479" t="s">
        <v>293</v>
      </c>
      <c r="I6" s="479" t="s">
        <v>294</v>
      </c>
      <c r="J6" s="480" t="s">
        <v>295</v>
      </c>
      <c r="K6" s="481" t="s">
        <v>298</v>
      </c>
      <c r="L6" s="481" t="s">
        <v>302</v>
      </c>
      <c r="M6" s="481" t="s">
        <v>303</v>
      </c>
      <c r="N6" s="858"/>
      <c r="O6" s="477" t="s">
        <v>813</v>
      </c>
      <c r="P6" s="414" t="s">
        <v>300</v>
      </c>
      <c r="Q6" s="414" t="s">
        <v>301</v>
      </c>
      <c r="R6" s="854"/>
      <c r="S6" s="844"/>
      <c r="T6" s="844"/>
    </row>
    <row r="7" spans="2:20" ht="71.25" customHeight="1" x14ac:dyDescent="0.25">
      <c r="B7" s="854"/>
      <c r="C7" s="857"/>
      <c r="D7" s="857"/>
      <c r="E7" s="451" t="s">
        <v>126</v>
      </c>
      <c r="F7" s="452" t="s">
        <v>127</v>
      </c>
      <c r="G7" s="452" t="s">
        <v>128</v>
      </c>
      <c r="H7" s="452" t="s">
        <v>129</v>
      </c>
      <c r="I7" s="452" t="s">
        <v>130</v>
      </c>
      <c r="J7" s="453" t="s">
        <v>131</v>
      </c>
      <c r="K7" s="454" t="s">
        <v>299</v>
      </c>
      <c r="L7" s="454"/>
      <c r="M7" s="454" t="s">
        <v>304</v>
      </c>
      <c r="N7" s="858"/>
      <c r="O7" s="174"/>
      <c r="P7" s="174"/>
      <c r="Q7" s="174"/>
      <c r="R7" s="854"/>
      <c r="S7" s="844"/>
      <c r="T7" s="844"/>
    </row>
    <row r="8" spans="2:20" x14ac:dyDescent="0.25">
      <c r="B8" s="200">
        <v>1</v>
      </c>
      <c r="C8" s="200"/>
      <c r="D8" s="200"/>
      <c r="E8" s="204">
        <v>2</v>
      </c>
      <c r="F8" s="204">
        <v>3</v>
      </c>
      <c r="G8" s="204">
        <v>4</v>
      </c>
      <c r="H8" s="204">
        <v>5</v>
      </c>
      <c r="I8" s="204">
        <v>6</v>
      </c>
      <c r="J8" s="664">
        <v>7</v>
      </c>
      <c r="K8" s="664"/>
      <c r="L8" s="664">
        <v>8</v>
      </c>
      <c r="M8" s="664">
        <v>9</v>
      </c>
      <c r="N8" s="204">
        <v>10</v>
      </c>
      <c r="O8" s="204">
        <v>11</v>
      </c>
      <c r="P8" s="204">
        <v>12</v>
      </c>
      <c r="Q8" s="204">
        <v>13</v>
      </c>
      <c r="R8" s="204">
        <v>14</v>
      </c>
      <c r="S8" s="204">
        <v>15</v>
      </c>
      <c r="T8" s="208">
        <v>16</v>
      </c>
    </row>
    <row r="9" spans="2:20" ht="27.2" customHeight="1" x14ac:dyDescent="0.25">
      <c r="B9" s="204" t="s">
        <v>516</v>
      </c>
      <c r="C9" s="205"/>
      <c r="D9" s="205"/>
      <c r="E9" s="114">
        <f>5780/720*48602+'расчет з.п.повышенного уровня'!E9</f>
        <v>483979.06</v>
      </c>
      <c r="F9" s="114">
        <f>5780*E40%+'расчет з.п.повышенного уровня'!F9</f>
        <v>10579.13</v>
      </c>
      <c r="G9" s="205">
        <f>16900.75+'расчет з.п.повышенного уровня'!G9</f>
        <v>21670</v>
      </c>
      <c r="H9" s="205">
        <f>((5780*29+5360*2)*12%)</f>
        <v>21401</v>
      </c>
      <c r="I9" s="205">
        <f>((5780*19+5360)*20%)</f>
        <v>23036</v>
      </c>
      <c r="J9" s="206">
        <f>((5780*4)*30%+(5780)*20%+(5780*11)*10%+(5360)*10%)</f>
        <v>14986</v>
      </c>
      <c r="K9" s="206">
        <v>14072</v>
      </c>
      <c r="L9" s="206">
        <f>'расчет з.п.повышенного уровня'!L9+'расчет з.п.базового уровня'!K9</f>
        <v>12584</v>
      </c>
      <c r="M9" s="757"/>
      <c r="N9" s="206">
        <f>E9+F9+G9+H9+I9+J9+K9+L9+M9</f>
        <v>602307</v>
      </c>
      <c r="O9" s="206">
        <f>46235.73+'расчет з.п.повышенного уровня'!O9</f>
        <v>58995</v>
      </c>
      <c r="P9" s="203">
        <f>396+'расчет з.п.повышенного уровня'!P9</f>
        <v>1702</v>
      </c>
      <c r="Q9" s="206">
        <f>'расчет з.п.повышенного уровня'!Q9+'расчет з.п.базового уровня'!P9</f>
        <v>119995</v>
      </c>
      <c r="R9" s="205">
        <f>'расчет з.п.повышенного уровня'!R9+'расчет з.п.базового уровня'!Q9</f>
        <v>117450</v>
      </c>
      <c r="S9" s="412">
        <f>N9+O9+P9+Q9+R9</f>
        <v>900449</v>
      </c>
      <c r="T9" s="469">
        <f>S9*12</f>
        <v>10805388</v>
      </c>
    </row>
    <row r="10" spans="2:20" ht="15" customHeight="1" x14ac:dyDescent="0.25">
      <c r="B10" s="204" t="s">
        <v>121</v>
      </c>
      <c r="C10" s="205"/>
      <c r="D10" s="205"/>
      <c r="E10" s="114">
        <f>14432+'расчет з.п.повышенного уровня'!E10</f>
        <v>18040</v>
      </c>
      <c r="F10" s="205"/>
      <c r="G10" s="205"/>
      <c r="H10" s="205"/>
      <c r="I10" s="205"/>
      <c r="J10" s="757"/>
      <c r="K10" s="209"/>
      <c r="L10" s="211">
        <f>'расчет з.п.повышенного уровня'!L10+'расчет з.п.базового уровня'!K10</f>
        <v>410</v>
      </c>
      <c r="M10" s="757"/>
      <c r="N10" s="206">
        <f t="shared" ref="N10:N19" si="0">E10+F10+G10+H10+I10+J10+K10+L10+M10</f>
        <v>18450</v>
      </c>
      <c r="O10" s="206">
        <f>1443.2+'расчет з.п.повышенного уровня'!O10</f>
        <v>1804</v>
      </c>
      <c r="P10" s="206"/>
      <c r="Q10" s="206">
        <f>'расчет з.п.повышенного уровня'!Q10+'расчет з.п.базового уровня'!P10</f>
        <v>3731</v>
      </c>
      <c r="R10" s="205">
        <f>'расчет з.п.повышенного уровня'!R10+'расчет з.п.базового уровня'!Q10</f>
        <v>3598</v>
      </c>
      <c r="S10" s="412">
        <f>N10+O10+P10+Q10+R10</f>
        <v>27583</v>
      </c>
      <c r="T10" s="469">
        <f>S10*12</f>
        <v>330996</v>
      </c>
    </row>
    <row r="11" spans="2:20" ht="24.75" customHeight="1" x14ac:dyDescent="0.25">
      <c r="B11" s="417" t="s">
        <v>514</v>
      </c>
      <c r="C11" s="418"/>
      <c r="D11" s="418"/>
      <c r="E11" s="418">
        <f t="shared" ref="E11:T11" si="1">E9+E10</f>
        <v>502019</v>
      </c>
      <c r="F11" s="418">
        <f t="shared" si="1"/>
        <v>10579</v>
      </c>
      <c r="G11" s="418">
        <f t="shared" si="1"/>
        <v>21670</v>
      </c>
      <c r="H11" s="418">
        <f t="shared" si="1"/>
        <v>21401</v>
      </c>
      <c r="I11" s="418">
        <f t="shared" si="1"/>
        <v>23036</v>
      </c>
      <c r="J11" s="418">
        <f t="shared" si="1"/>
        <v>14986</v>
      </c>
      <c r="K11" s="418">
        <f t="shared" si="1"/>
        <v>14072</v>
      </c>
      <c r="L11" s="418">
        <f t="shared" si="1"/>
        <v>12994</v>
      </c>
      <c r="M11" s="418">
        <f t="shared" si="1"/>
        <v>0</v>
      </c>
      <c r="N11" s="418">
        <f t="shared" si="1"/>
        <v>620757</v>
      </c>
      <c r="O11" s="418">
        <f t="shared" si="1"/>
        <v>60799</v>
      </c>
      <c r="P11" s="418">
        <f t="shared" si="1"/>
        <v>1702</v>
      </c>
      <c r="Q11" s="418">
        <f t="shared" si="1"/>
        <v>123726</v>
      </c>
      <c r="R11" s="418">
        <f t="shared" si="1"/>
        <v>121048</v>
      </c>
      <c r="S11" s="418">
        <f t="shared" si="1"/>
        <v>928032</v>
      </c>
      <c r="T11" s="472">
        <f t="shared" si="1"/>
        <v>11136384</v>
      </c>
    </row>
    <row r="12" spans="2:20" ht="18.75" customHeight="1" x14ac:dyDescent="0.25">
      <c r="B12" s="204" t="s">
        <v>814</v>
      </c>
      <c r="C12" s="204"/>
      <c r="D12" s="204"/>
      <c r="E12" s="205">
        <f>86000+'расчет з.п.повышенного уровня'!E12</f>
        <v>107500</v>
      </c>
      <c r="F12" s="205"/>
      <c r="G12" s="205"/>
      <c r="H12" s="205"/>
      <c r="I12" s="205"/>
      <c r="J12" s="206"/>
      <c r="K12" s="203"/>
      <c r="L12" s="203">
        <f>'расчет з.п.повышенного уровня'!L12+'расчет з.п.базового уровня'!K12</f>
        <v>4300</v>
      </c>
      <c r="M12" s="206"/>
      <c r="N12" s="206">
        <f t="shared" si="0"/>
        <v>111800</v>
      </c>
      <c r="O12" s="205">
        <f>15300+'расчет з.п.повышенного уровня'!O12</f>
        <v>19125</v>
      </c>
      <c r="P12" s="206"/>
      <c r="Q12" s="206">
        <f>'расчет з.п.повышенного уровня'!Q12+'расчет з.п.базового уровня'!P12</f>
        <v>107500</v>
      </c>
      <c r="R12" s="205">
        <f>'расчет з.п.повышенного уровня'!R12+'расчет з.п.базового уровня'!Q12</f>
        <v>35764</v>
      </c>
      <c r="S12" s="412">
        <f t="shared" ref="S12:S20" si="2">N12+O12+P12+Q12+R12</f>
        <v>274189</v>
      </c>
      <c r="T12" s="469">
        <f t="shared" ref="T12:T20" si="3">S12*12</f>
        <v>3290268</v>
      </c>
    </row>
    <row r="13" spans="2:20" ht="30.95" customHeight="1" x14ac:dyDescent="0.25">
      <c r="B13" s="204" t="s">
        <v>120</v>
      </c>
      <c r="C13" s="204"/>
      <c r="D13" s="204"/>
      <c r="E13" s="205">
        <f>60232+'расчет з.п.повышенного уровня'!E13</f>
        <v>75290</v>
      </c>
      <c r="F13" s="205"/>
      <c r="G13" s="205"/>
      <c r="H13" s="203">
        <f>6240*12%</f>
        <v>749</v>
      </c>
      <c r="I13" s="203"/>
      <c r="J13" s="206"/>
      <c r="K13" s="203"/>
      <c r="L13" s="203">
        <f>'расчет з.п.повышенного уровня'!L13+'расчет з.п.базового уровня'!K13</f>
        <v>2949</v>
      </c>
      <c r="M13" s="206"/>
      <c r="N13" s="206">
        <f t="shared" si="0"/>
        <v>78988</v>
      </c>
      <c r="O13" s="205">
        <f>6665.6+'расчет з.п.повышенного уровня'!O13</f>
        <v>8332</v>
      </c>
      <c r="P13" s="206"/>
      <c r="Q13" s="206">
        <f>'расчет з.п.повышенного уровня'!Q13+'расчет з.п.базового уровня'!P13</f>
        <v>15364</v>
      </c>
      <c r="R13" s="205">
        <f>'расчет з.п.повышенного уровня'!R13+'расчет з.п.базового уровня'!Q13</f>
        <v>15403</v>
      </c>
      <c r="S13" s="412">
        <f t="shared" si="2"/>
        <v>118087</v>
      </c>
      <c r="T13" s="469">
        <f t="shared" si="3"/>
        <v>1417044</v>
      </c>
    </row>
    <row r="14" spans="2:20" ht="29.25" customHeight="1" x14ac:dyDescent="0.25">
      <c r="B14" s="204" t="s">
        <v>815</v>
      </c>
      <c r="C14" s="204"/>
      <c r="D14" s="204"/>
      <c r="E14" s="205">
        <f>5360+'расчет з.п.повышенного уровня'!E14</f>
        <v>6700</v>
      </c>
      <c r="F14" s="205"/>
      <c r="G14" s="205"/>
      <c r="H14" s="205"/>
      <c r="I14" s="205"/>
      <c r="J14" s="757"/>
      <c r="K14" s="483"/>
      <c r="L14" s="203">
        <f>'расчет з.п.повышенного уровня'!L14+'расчет з.п.базового уровня'!K14</f>
        <v>268</v>
      </c>
      <c r="M14" s="757"/>
      <c r="N14" s="206">
        <f t="shared" si="0"/>
        <v>6968</v>
      </c>
      <c r="O14" s="205">
        <v>0</v>
      </c>
      <c r="P14" s="206"/>
      <c r="Q14" s="206">
        <f>'расчет з.п.повышенного уровня'!Q14+'расчет з.п.базового уровня'!P14</f>
        <v>2090</v>
      </c>
      <c r="R14" s="205">
        <f>'расчет з.п.повышенного уровня'!R14+'расчет з.п.базового уровня'!Q14</f>
        <v>1359</v>
      </c>
      <c r="S14" s="412">
        <f t="shared" si="2"/>
        <v>10417</v>
      </c>
      <c r="T14" s="469">
        <f t="shared" si="3"/>
        <v>125004</v>
      </c>
    </row>
    <row r="15" spans="2:20" ht="39" x14ac:dyDescent="0.25">
      <c r="B15" s="204" t="s">
        <v>816</v>
      </c>
      <c r="C15" s="204"/>
      <c r="D15" s="204"/>
      <c r="E15" s="205">
        <f>44736+'расчет з.п.повышенного уровня'!E15</f>
        <v>55920</v>
      </c>
      <c r="F15" s="203"/>
      <c r="G15" s="203"/>
      <c r="H15" s="203"/>
      <c r="I15" s="203"/>
      <c r="J15" s="203"/>
      <c r="K15" s="483"/>
      <c r="L15" s="203">
        <f>'расчет з.п.повышенного уровня'!L15+'расчет з.п.базового уровня'!K15</f>
        <v>445</v>
      </c>
      <c r="M15" s="211">
        <f>'расчет з.п.повышенного уровня'!M15+'расчет з.п.базового уровня'!L15</f>
        <v>1200</v>
      </c>
      <c r="N15" s="206">
        <f t="shared" si="0"/>
        <v>57565</v>
      </c>
      <c r="O15" s="205">
        <f>5726+'расчет з.п.повышенного уровня'!O15</f>
        <v>7157</v>
      </c>
      <c r="P15" s="203"/>
      <c r="Q15" s="206">
        <f>'расчет з.п.повышенного уровня'!Q15+'расчет з.п.базового уровня'!P15</f>
        <v>10113</v>
      </c>
      <c r="R15" s="205">
        <f>'расчет з.п.повышенного уровня'!R15+'расчет з.п.базового уровня'!Q15</f>
        <v>11225</v>
      </c>
      <c r="S15" s="412">
        <f t="shared" si="2"/>
        <v>86060</v>
      </c>
      <c r="T15" s="469">
        <f t="shared" si="3"/>
        <v>1032720</v>
      </c>
    </row>
    <row r="16" spans="2:20" x14ac:dyDescent="0.25">
      <c r="B16" s="204" t="s">
        <v>817</v>
      </c>
      <c r="C16" s="200"/>
      <c r="D16" s="200"/>
      <c r="E16" s="202">
        <f>82928+'расчет з.п.повышенного уровня'!E16</f>
        <v>103660</v>
      </c>
      <c r="F16" s="208"/>
      <c r="G16" s="208"/>
      <c r="H16" s="208"/>
      <c r="I16" s="208"/>
      <c r="J16" s="208"/>
      <c r="K16" s="483"/>
      <c r="L16" s="203">
        <f>'расчет з.п.повышенного уровня'!L16+'расчет з.п.базового уровня'!K16</f>
        <v>1358</v>
      </c>
      <c r="M16" s="208"/>
      <c r="N16" s="206">
        <f>E16+F16+G16+H16+I16+J16+K16+L16+M16</f>
        <v>105018</v>
      </c>
      <c r="O16" s="205">
        <v>0</v>
      </c>
      <c r="P16" s="208"/>
      <c r="Q16" s="206">
        <f>'расчет з.п.повышенного уровня'!Q16+'расчет з.п.базового уровня'!P16</f>
        <v>31505</v>
      </c>
      <c r="R16" s="205">
        <f>'расчет з.п.повышенного уровня'!R16+'расчет з.п.базового уровня'!Q16</f>
        <v>20479</v>
      </c>
      <c r="S16" s="412">
        <f t="shared" si="2"/>
        <v>157002</v>
      </c>
      <c r="T16" s="469">
        <f t="shared" si="3"/>
        <v>1884024</v>
      </c>
    </row>
    <row r="17" spans="2:20" x14ac:dyDescent="0.25">
      <c r="B17" s="204" t="s">
        <v>818</v>
      </c>
      <c r="C17" s="200"/>
      <c r="D17" s="200"/>
      <c r="E17" s="202">
        <f>4288+'расчет з.п.повышенного уровня'!E17</f>
        <v>5360</v>
      </c>
      <c r="F17" s="208"/>
      <c r="G17" s="211">
        <f>801.46*8/12</f>
        <v>534</v>
      </c>
      <c r="H17" s="208"/>
      <c r="I17" s="208"/>
      <c r="J17" s="208"/>
      <c r="K17" s="483"/>
      <c r="L17" s="203">
        <f>'расчет з.п.повышенного уровня'!L17+'расчет з.п.базового уровня'!K17</f>
        <v>215</v>
      </c>
      <c r="M17" s="208"/>
      <c r="N17" s="206">
        <f t="shared" si="0"/>
        <v>6109</v>
      </c>
      <c r="O17" s="205">
        <v>0</v>
      </c>
      <c r="P17" s="208"/>
      <c r="Q17" s="206">
        <f>'расчет з.п.повышенного уровня'!Q17+'расчет з.п.базового уровня'!P17</f>
        <v>1833</v>
      </c>
      <c r="R17" s="205">
        <f>'расчет з.п.повышенного уровня'!R17+'расчет з.п.базового уровня'!Q17</f>
        <v>1192</v>
      </c>
      <c r="S17" s="412">
        <f t="shared" si="2"/>
        <v>9134</v>
      </c>
      <c r="T17" s="469">
        <f t="shared" si="3"/>
        <v>109608</v>
      </c>
    </row>
    <row r="18" spans="2:20" x14ac:dyDescent="0.25">
      <c r="B18" s="204" t="s">
        <v>819</v>
      </c>
      <c r="C18" s="200"/>
      <c r="D18" s="200"/>
      <c r="E18" s="456">
        <f>13568+'расчет з.п.повышенного уровня'!E18</f>
        <v>16960</v>
      </c>
      <c r="F18" s="208"/>
      <c r="G18" s="208"/>
      <c r="H18" s="208"/>
      <c r="I18" s="208"/>
      <c r="J18" s="208"/>
      <c r="K18" s="483"/>
      <c r="L18" s="203">
        <f>'расчет з.п.повышенного уровня'!L18+'расчет з.п.базового уровня'!K18</f>
        <v>679</v>
      </c>
      <c r="M18" s="208"/>
      <c r="N18" s="206">
        <f t="shared" si="0"/>
        <v>17639</v>
      </c>
      <c r="O18" s="211">
        <v>0</v>
      </c>
      <c r="P18" s="208"/>
      <c r="Q18" s="206">
        <f>'расчет з.п.повышенного уровня'!Q18+'расчет з.п.базового уровня'!P18</f>
        <v>5291</v>
      </c>
      <c r="R18" s="205">
        <f>'расчет з.п.повышенного уровня'!R18+'расчет з.п.базового уровня'!Q18</f>
        <v>3440</v>
      </c>
      <c r="S18" s="412">
        <f t="shared" si="2"/>
        <v>26370</v>
      </c>
      <c r="T18" s="469">
        <f t="shared" si="3"/>
        <v>316440</v>
      </c>
    </row>
    <row r="19" spans="2:20" x14ac:dyDescent="0.25">
      <c r="B19" s="457" t="s">
        <v>735</v>
      </c>
      <c r="C19" s="457"/>
      <c r="D19" s="457"/>
      <c r="E19" s="456">
        <f>81840+'расчет з.п.повышенного уровня'!E19</f>
        <v>102300</v>
      </c>
      <c r="F19" s="208"/>
      <c r="G19" s="208"/>
      <c r="H19" s="208"/>
      <c r="I19" s="208"/>
      <c r="J19" s="208"/>
      <c r="K19" s="483"/>
      <c r="L19" s="203">
        <f>'расчет з.п.повышенного уровня'!L19+'расчет з.п.базового уровня'!K19</f>
        <v>1175</v>
      </c>
      <c r="M19" s="476">
        <f>'расчет з.п.повышенного уровня'!M19+'расчет з.п.базового уровня'!L19</f>
        <v>900</v>
      </c>
      <c r="N19" s="206">
        <f t="shared" si="0"/>
        <v>104375</v>
      </c>
      <c r="O19" s="211">
        <v>0</v>
      </c>
      <c r="P19" s="208"/>
      <c r="Q19" s="206">
        <f>'расчет з.п.повышенного уровня'!Q19+'расчет з.п.базового уровня'!P19</f>
        <v>31313</v>
      </c>
      <c r="R19" s="205">
        <f>'расчет з.п.повышенного уровня'!R19+'расчет з.п.базового уровня'!Q19</f>
        <v>20354</v>
      </c>
      <c r="S19" s="412">
        <f t="shared" si="2"/>
        <v>156042</v>
      </c>
      <c r="T19" s="469">
        <f t="shared" si="3"/>
        <v>1872504</v>
      </c>
    </row>
    <row r="20" spans="2:20" x14ac:dyDescent="0.25">
      <c r="B20" s="620" t="s">
        <v>734</v>
      </c>
      <c r="C20" s="457"/>
      <c r="D20" s="457"/>
      <c r="E20" s="456">
        <f>6400+'расчет з.п.повышенного уровня'!E20</f>
        <v>8000</v>
      </c>
      <c r="F20" s="208"/>
      <c r="G20" s="208"/>
      <c r="H20" s="208"/>
      <c r="I20" s="208"/>
      <c r="J20" s="208"/>
      <c r="K20" s="623"/>
      <c r="L20" s="203">
        <f>'расчет з.п.повышенного уровня'!L20+'расчет з.п.базового уровня'!K20</f>
        <v>320</v>
      </c>
      <c r="M20" s="476">
        <f>'расчет з.п.повышенного уровня'!M20+'расчет з.п.базового уровня'!L20</f>
        <v>900</v>
      </c>
      <c r="N20" s="625">
        <f>E20+F20+G20+H20+I20+J20+K20+L20+M20</f>
        <v>9220</v>
      </c>
      <c r="O20" s="211">
        <v>0</v>
      </c>
      <c r="P20" s="208"/>
      <c r="Q20" s="206">
        <f>'расчет з.п.повышенного уровня'!Q20+'расчет з.п.базового уровня'!P20</f>
        <v>2766</v>
      </c>
      <c r="R20" s="205">
        <f>'расчет з.п.повышенного уровня'!R20+'расчет з.п.базового уровня'!Q20</f>
        <v>1798</v>
      </c>
      <c r="S20" s="412">
        <f t="shared" si="2"/>
        <v>13784</v>
      </c>
      <c r="T20" s="469">
        <f t="shared" si="3"/>
        <v>165408</v>
      </c>
    </row>
    <row r="21" spans="2:20" ht="31.5" x14ac:dyDescent="0.25">
      <c r="B21" s="482" t="s">
        <v>515</v>
      </c>
      <c r="C21" s="458"/>
      <c r="D21" s="458"/>
      <c r="E21" s="760">
        <f t="shared" ref="E21:T21" si="4">E12+E13+E14+E15+E16+E17+E18+E19</f>
        <v>473690</v>
      </c>
      <c r="F21" s="760">
        <f t="shared" si="4"/>
        <v>0</v>
      </c>
      <c r="G21" s="760">
        <f t="shared" si="4"/>
        <v>534</v>
      </c>
      <c r="H21" s="760">
        <f t="shared" si="4"/>
        <v>749</v>
      </c>
      <c r="I21" s="760">
        <f t="shared" si="4"/>
        <v>0</v>
      </c>
      <c r="J21" s="760">
        <f t="shared" si="4"/>
        <v>0</v>
      </c>
      <c r="K21" s="761">
        <f t="shared" si="4"/>
        <v>0</v>
      </c>
      <c r="L21" s="760">
        <f>L12+L13+L14+L15+L16+L17+L18+L19</f>
        <v>11389</v>
      </c>
      <c r="M21" s="760">
        <f t="shared" si="4"/>
        <v>2100</v>
      </c>
      <c r="N21" s="761">
        <f t="shared" si="4"/>
        <v>488462</v>
      </c>
      <c r="O21" s="760">
        <f t="shared" si="4"/>
        <v>34614</v>
      </c>
      <c r="P21" s="760">
        <f t="shared" si="4"/>
        <v>0</v>
      </c>
      <c r="Q21" s="760">
        <f t="shared" si="4"/>
        <v>205009</v>
      </c>
      <c r="R21" s="760">
        <f t="shared" si="4"/>
        <v>109216</v>
      </c>
      <c r="S21" s="760">
        <f t="shared" si="4"/>
        <v>837301</v>
      </c>
      <c r="T21" s="762">
        <f t="shared" si="4"/>
        <v>10047612</v>
      </c>
    </row>
    <row r="22" spans="2:20" x14ac:dyDescent="0.25">
      <c r="B22" s="460" t="s">
        <v>820</v>
      </c>
      <c r="C22" s="461">
        <f>C9+C10+C12+C14+C15+C16+C17+C18+C19</f>
        <v>0</v>
      </c>
      <c r="D22" s="461">
        <f>D9+D10+D12+D14+D15+D16+D17+D18+D19</f>
        <v>0</v>
      </c>
      <c r="E22" s="763">
        <f t="shared" ref="E22:T22" si="5">E11+E21</f>
        <v>975709</v>
      </c>
      <c r="F22" s="763">
        <f t="shared" si="5"/>
        <v>10579</v>
      </c>
      <c r="G22" s="763">
        <f t="shared" si="5"/>
        <v>22204</v>
      </c>
      <c r="H22" s="763">
        <f t="shared" si="5"/>
        <v>22150</v>
      </c>
      <c r="I22" s="763">
        <f t="shared" si="5"/>
        <v>23036</v>
      </c>
      <c r="J22" s="763">
        <f t="shared" si="5"/>
        <v>14986</v>
      </c>
      <c r="K22" s="212">
        <f t="shared" si="5"/>
        <v>14072</v>
      </c>
      <c r="L22" s="461">
        <f>L11+L21</f>
        <v>24383</v>
      </c>
      <c r="M22" s="461">
        <f t="shared" si="5"/>
        <v>2100</v>
      </c>
      <c r="N22" s="212">
        <f t="shared" si="5"/>
        <v>1109219</v>
      </c>
      <c r="O22" s="461">
        <f t="shared" si="5"/>
        <v>95413</v>
      </c>
      <c r="P22" s="461">
        <f t="shared" si="5"/>
        <v>1702</v>
      </c>
      <c r="Q22" s="461">
        <f t="shared" si="5"/>
        <v>328735</v>
      </c>
      <c r="R22" s="461">
        <f t="shared" si="5"/>
        <v>230264</v>
      </c>
      <c r="S22" s="461">
        <f t="shared" si="5"/>
        <v>1765333</v>
      </c>
      <c r="T22" s="474">
        <f t="shared" si="5"/>
        <v>21183996</v>
      </c>
    </row>
    <row r="23" spans="2:20" x14ac:dyDescent="0.25">
      <c r="Q23" s="742"/>
      <c r="R23" s="742"/>
    </row>
    <row r="24" spans="2:20" x14ac:dyDescent="0.25">
      <c r="E24" s="729"/>
      <c r="F24" s="729"/>
      <c r="G24" s="729"/>
      <c r="H24" s="729"/>
      <c r="I24" s="729"/>
      <c r="J24" s="729"/>
      <c r="K24" s="729"/>
      <c r="L24" s="729"/>
      <c r="M24" s="729"/>
      <c r="N24" s="729"/>
      <c r="O24" s="729"/>
      <c r="P24" s="729"/>
      <c r="Q24" s="3" t="s">
        <v>823</v>
      </c>
      <c r="T24" s="729"/>
    </row>
    <row r="25" spans="2:20" x14ac:dyDescent="0.25">
      <c r="T25" s="729"/>
    </row>
    <row r="26" spans="2:20" x14ac:dyDescent="0.25">
      <c r="E26" s="3" t="s">
        <v>824</v>
      </c>
      <c r="Q26" s="3" t="s">
        <v>825</v>
      </c>
    </row>
    <row r="27" spans="2:20" x14ac:dyDescent="0.25">
      <c r="E27"/>
      <c r="F27"/>
      <c r="G27"/>
      <c r="H27"/>
      <c r="I27"/>
      <c r="J27"/>
      <c r="K27"/>
      <c r="L27"/>
      <c r="M27"/>
    </row>
    <row r="28" spans="2:20" x14ac:dyDescent="0.25">
      <c r="J28" s="206">
        <f>(5780*4)*30%+(5780)*20%+(5780*11)*10%+(5360)*10%</f>
        <v>14986</v>
      </c>
      <c r="K28" s="759"/>
    </row>
    <row r="29" spans="2:20" x14ac:dyDescent="0.25">
      <c r="J29" s="742">
        <f>'расчет з.п.повышенного уровня'!J22+'расчет общий '!J22</f>
        <v>17983</v>
      </c>
      <c r="K29" s="742"/>
      <c r="L29" s="758">
        <f>'расчет за вредность'!N109*80%</f>
        <v>19505</v>
      </c>
    </row>
    <row r="32" spans="2:20" x14ac:dyDescent="0.25">
      <c r="F32" s="616">
        <v>4273</v>
      </c>
      <c r="G32" s="616">
        <f>F32/F33*100</f>
        <v>17.579999999999998</v>
      </c>
    </row>
    <row r="33" spans="4:6" x14ac:dyDescent="0.25">
      <c r="F33" s="616">
        <f>48602/12*6</f>
        <v>24301</v>
      </c>
    </row>
    <row r="36" spans="4:6" x14ac:dyDescent="0.25">
      <c r="D36" s="3" t="s">
        <v>668</v>
      </c>
      <c r="E36" s="3">
        <v>48602</v>
      </c>
      <c r="F36" s="3" t="s">
        <v>307</v>
      </c>
    </row>
    <row r="37" spans="4:6" x14ac:dyDescent="0.25">
      <c r="E37" s="616">
        <f>F32</f>
        <v>4273</v>
      </c>
      <c r="F37" s="3" t="s">
        <v>308</v>
      </c>
    </row>
    <row r="39" spans="4:6" x14ac:dyDescent="0.25">
      <c r="E39" s="616">
        <f>E36*G32%</f>
        <v>8544.23</v>
      </c>
    </row>
    <row r="40" spans="4:6" x14ac:dyDescent="0.25">
      <c r="E40" s="616">
        <f>E39*12/720</f>
        <v>142.4</v>
      </c>
      <c r="F40" s="3" t="s">
        <v>309</v>
      </c>
    </row>
  </sheetData>
  <mergeCells count="12">
    <mergeCell ref="T5:T7"/>
    <mergeCell ref="S5:S7"/>
    <mergeCell ref="F5:M5"/>
    <mergeCell ref="O5:Q5"/>
    <mergeCell ref="B1:S1"/>
    <mergeCell ref="B2:S2"/>
    <mergeCell ref="B3:R3"/>
    <mergeCell ref="B5:B7"/>
    <mergeCell ref="C5:C7"/>
    <mergeCell ref="D5:D7"/>
    <mergeCell ref="N5:N7"/>
    <mergeCell ref="R5:R7"/>
  </mergeCells>
  <phoneticPr fontId="17" type="noConversion"/>
  <pageMargins left="0.70866141732283472" right="0.70866141732283472" top="0.74803149606299213" bottom="0" header="0.31496062992125984" footer="0"/>
  <pageSetup paperSize="9" scale="75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"/>
  <sheetViews>
    <sheetView workbookViewId="0">
      <selection activeCell="E10" sqref="E10"/>
    </sheetView>
  </sheetViews>
  <sheetFormatPr defaultRowHeight="15" x14ac:dyDescent="0.25"/>
  <cols>
    <col min="1" max="1" width="27.5703125" style="145" customWidth="1"/>
    <col min="2" max="2" width="17" style="145" customWidth="1"/>
    <col min="3" max="3" width="10.42578125" style="145" customWidth="1"/>
    <col min="4" max="4" width="12.85546875" style="145" customWidth="1"/>
    <col min="5" max="5" width="13" style="145" customWidth="1"/>
    <col min="6" max="6" width="10.5703125" style="145" customWidth="1"/>
    <col min="7" max="7" width="15.5703125" style="145" customWidth="1"/>
    <col min="8" max="8" width="16.42578125" style="145" customWidth="1"/>
  </cols>
  <sheetData>
    <row r="2" spans="1:8" ht="39" x14ac:dyDescent="0.25">
      <c r="A2" s="208"/>
      <c r="B2" s="442" t="s">
        <v>577</v>
      </c>
      <c r="C2" s="442" t="s">
        <v>670</v>
      </c>
      <c r="D2" s="442" t="s">
        <v>587</v>
      </c>
      <c r="E2" s="443" t="s">
        <v>590</v>
      </c>
      <c r="F2" s="443" t="s">
        <v>669</v>
      </c>
      <c r="G2" s="443" t="s">
        <v>591</v>
      </c>
      <c r="H2" s="147" t="s">
        <v>854</v>
      </c>
    </row>
    <row r="3" spans="1:8" x14ac:dyDescent="0.25">
      <c r="A3" s="125" t="s">
        <v>579</v>
      </c>
      <c r="B3" s="423">
        <f>5669000.4</f>
        <v>5669000.4000000004</v>
      </c>
      <c r="C3" s="124"/>
      <c r="D3" s="124"/>
      <c r="E3" s="124"/>
      <c r="F3" s="124"/>
      <c r="G3" s="124"/>
      <c r="H3" s="124"/>
    </row>
    <row r="4" spans="1:8" x14ac:dyDescent="0.25">
      <c r="A4" s="125" t="s">
        <v>580</v>
      </c>
      <c r="B4" s="124">
        <v>3682850.63</v>
      </c>
      <c r="C4" s="124"/>
      <c r="D4" s="124"/>
      <c r="E4" s="124"/>
      <c r="F4" s="124"/>
      <c r="G4" s="124"/>
      <c r="H4" s="124"/>
    </row>
    <row r="5" spans="1:8" x14ac:dyDescent="0.25">
      <c r="A5" s="125" t="s">
        <v>583</v>
      </c>
      <c r="B5" s="423">
        <v>1160000</v>
      </c>
      <c r="C5" s="124"/>
      <c r="D5" s="124"/>
      <c r="E5" s="124"/>
      <c r="F5" s="124"/>
      <c r="G5" s="124"/>
      <c r="H5" s="124"/>
    </row>
    <row r="6" spans="1:8" x14ac:dyDescent="0.25">
      <c r="A6" s="125" t="s">
        <v>584</v>
      </c>
      <c r="B6" s="423">
        <f>1482854</f>
        <v>1482854</v>
      </c>
      <c r="C6" s="124"/>
      <c r="D6" s="124"/>
      <c r="E6" s="124"/>
      <c r="F6" s="124"/>
      <c r="G6" s="124"/>
      <c r="H6" s="124"/>
    </row>
    <row r="7" spans="1:8" x14ac:dyDescent="0.25">
      <c r="A7" s="125" t="s">
        <v>585</v>
      </c>
      <c r="B7" s="124"/>
      <c r="C7" s="124">
        <f>114027.05</f>
        <v>114027.05</v>
      </c>
      <c r="D7" s="124"/>
      <c r="E7" s="124"/>
      <c r="F7" s="124"/>
      <c r="G7" s="124"/>
      <c r="H7" s="124"/>
    </row>
    <row r="8" spans="1:8" x14ac:dyDescent="0.25">
      <c r="A8" s="125" t="s">
        <v>586</v>
      </c>
      <c r="B8" s="124"/>
      <c r="C8" s="423">
        <f>7000</f>
        <v>7000</v>
      </c>
      <c r="D8" s="124"/>
      <c r="E8" s="124"/>
      <c r="F8" s="124"/>
      <c r="G8" s="124"/>
      <c r="H8" s="124"/>
    </row>
    <row r="9" spans="1:8" x14ac:dyDescent="0.25">
      <c r="A9" s="125" t="s">
        <v>589</v>
      </c>
      <c r="B9" s="124"/>
      <c r="C9" s="124"/>
      <c r="D9" s="124">
        <v>291004.52</v>
      </c>
      <c r="E9" s="124"/>
      <c r="F9" s="124"/>
      <c r="G9" s="124"/>
      <c r="H9" s="124"/>
    </row>
    <row r="10" spans="1:8" x14ac:dyDescent="0.25">
      <c r="A10" s="125" t="s">
        <v>582</v>
      </c>
      <c r="B10" s="124"/>
      <c r="C10" s="124"/>
      <c r="D10" s="124"/>
      <c r="E10" s="423">
        <f>3305575</f>
        <v>3305575</v>
      </c>
      <c r="F10" s="124"/>
      <c r="G10" s="124"/>
      <c r="H10" s="124"/>
    </row>
    <row r="11" spans="1:8" x14ac:dyDescent="0.25">
      <c r="A11" s="125" t="s">
        <v>592</v>
      </c>
      <c r="B11" s="124"/>
      <c r="C11" s="124"/>
      <c r="D11" s="124"/>
      <c r="E11" s="124"/>
      <c r="F11" s="124">
        <v>862303.57</v>
      </c>
      <c r="G11" s="124"/>
      <c r="H11" s="124"/>
    </row>
    <row r="12" spans="1:8" x14ac:dyDescent="0.25">
      <c r="A12" s="125" t="s">
        <v>578</v>
      </c>
      <c r="B12" s="124"/>
      <c r="C12" s="124"/>
      <c r="D12" s="124"/>
      <c r="E12" s="124"/>
      <c r="F12" s="124"/>
      <c r="G12" s="124">
        <v>1658151.85</v>
      </c>
      <c r="H12" s="124"/>
    </row>
    <row r="13" spans="1:8" x14ac:dyDescent="0.25">
      <c r="A13" s="124"/>
      <c r="B13" s="142">
        <f t="shared" ref="B13:G13" si="0">B3+B4+B5+B6+B7+B8+B9+B10+B11+B12</f>
        <v>11994705.029999999</v>
      </c>
      <c r="C13" s="142">
        <f t="shared" si="0"/>
        <v>121027.05</v>
      </c>
      <c r="D13" s="142">
        <f t="shared" si="0"/>
        <v>291004.52</v>
      </c>
      <c r="E13" s="142">
        <f t="shared" si="0"/>
        <v>3305575</v>
      </c>
      <c r="F13" s="142">
        <f t="shared" si="0"/>
        <v>862303.57</v>
      </c>
      <c r="G13" s="142">
        <f t="shared" si="0"/>
        <v>1658151.85</v>
      </c>
      <c r="H13" s="142">
        <f>B13+C13+D13+E13+F13+G13</f>
        <v>18232767.02</v>
      </c>
    </row>
    <row r="14" spans="1:8" x14ac:dyDescent="0.25">
      <c r="H14" s="186">
        <f>'[2]смета от 11.01.2012'!$C$38</f>
        <v>18232767.02</v>
      </c>
    </row>
    <row r="15" spans="1:8" x14ac:dyDescent="0.25">
      <c r="H15" s="186">
        <f>H14-H13</f>
        <v>0</v>
      </c>
    </row>
  </sheetData>
  <phoneticPr fontId="17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workbookViewId="0">
      <selection activeCell="G8" sqref="G8"/>
    </sheetView>
  </sheetViews>
  <sheetFormatPr defaultRowHeight="15" x14ac:dyDescent="0.25"/>
  <cols>
    <col min="1" max="1" width="19.85546875" style="3" customWidth="1"/>
    <col min="2" max="2" width="29.7109375" style="3" customWidth="1"/>
    <col min="3" max="3" width="10.42578125" bestFit="1" customWidth="1"/>
    <col min="4" max="4" width="13.5703125" customWidth="1"/>
    <col min="5" max="5" width="11.42578125" bestFit="1" customWidth="1"/>
    <col min="7" max="7" width="11.42578125" bestFit="1" customWidth="1"/>
    <col min="11" max="11" width="8.28515625" style="3" customWidth="1"/>
    <col min="12" max="12" width="10.42578125" style="3" customWidth="1"/>
    <col min="13" max="13" width="13.7109375" style="3" customWidth="1"/>
    <col min="14" max="16" width="11.28515625" style="3" customWidth="1"/>
    <col min="17" max="17" width="6.42578125" style="3" customWidth="1"/>
    <col min="18" max="18" width="12.7109375" style="3" customWidth="1"/>
    <col min="19" max="19" width="13.5703125" style="3" customWidth="1"/>
    <col min="20" max="20" width="13.7109375" style="3" customWidth="1"/>
    <col min="21" max="21" width="9" style="3" customWidth="1"/>
  </cols>
  <sheetData>
    <row r="1" spans="1:21" x14ac:dyDescent="0.25">
      <c r="K1" s="871" t="s">
        <v>500</v>
      </c>
      <c r="L1" s="870" t="s">
        <v>870</v>
      </c>
      <c r="M1" s="865" t="s">
        <v>573</v>
      </c>
      <c r="N1" s="866">
        <v>0.05</v>
      </c>
      <c r="O1" s="866">
        <v>0.08</v>
      </c>
      <c r="P1" s="866" t="s">
        <v>482</v>
      </c>
      <c r="Q1" s="865" t="s">
        <v>499</v>
      </c>
      <c r="R1" s="865"/>
      <c r="S1" s="862" t="s">
        <v>854</v>
      </c>
    </row>
    <row r="2" spans="1:21" x14ac:dyDescent="0.25">
      <c r="K2" s="871"/>
      <c r="L2" s="870"/>
      <c r="M2" s="865"/>
      <c r="N2" s="866"/>
      <c r="O2" s="866"/>
      <c r="P2" s="866"/>
      <c r="Q2" s="607" t="s">
        <v>858</v>
      </c>
      <c r="R2" s="608" t="s">
        <v>671</v>
      </c>
      <c r="S2" s="863"/>
    </row>
    <row r="3" spans="1:21" ht="44.25" customHeight="1" x14ac:dyDescent="0.25">
      <c r="A3" s="861" t="s">
        <v>501</v>
      </c>
      <c r="B3" s="861"/>
      <c r="C3" s="861"/>
      <c r="D3" s="861"/>
      <c r="K3" s="664">
        <v>15</v>
      </c>
      <c r="L3" s="508">
        <v>5403860.4000000004</v>
      </c>
      <c r="M3" s="683">
        <f>164362.79+1146714.56</f>
        <v>1311077.3500000001</v>
      </c>
      <c r="N3" s="683"/>
      <c r="O3" s="683"/>
      <c r="P3" s="683">
        <v>63602.06</v>
      </c>
      <c r="Q3" s="684">
        <v>0.31</v>
      </c>
      <c r="R3" s="685">
        <f>L3*Q3+0.01</f>
        <v>1675196.73</v>
      </c>
      <c r="S3" s="686">
        <f t="shared" ref="S3:S9" si="0">M3+N3+O3+P3+R3</f>
        <v>3049876.14</v>
      </c>
    </row>
    <row r="4" spans="1:21" x14ac:dyDescent="0.25">
      <c r="A4" s="64"/>
      <c r="B4" s="64"/>
      <c r="K4" s="664">
        <v>16</v>
      </c>
      <c r="L4" s="208">
        <v>3682850.63</v>
      </c>
      <c r="M4" s="683">
        <f>961760</f>
        <v>961760</v>
      </c>
      <c r="N4" s="683"/>
      <c r="O4" s="683">
        <f>L4*8%+0.01</f>
        <v>294628.06</v>
      </c>
      <c r="P4" s="683"/>
      <c r="Q4" s="684">
        <v>0.27839999999999998</v>
      </c>
      <c r="R4" s="685">
        <f>L4*Q4</f>
        <v>1025305.62</v>
      </c>
      <c r="S4" s="686">
        <f t="shared" si="0"/>
        <v>2281693.6800000002</v>
      </c>
    </row>
    <row r="5" spans="1:21" ht="47.25" customHeight="1" x14ac:dyDescent="0.25">
      <c r="A5" s="733" t="s">
        <v>826</v>
      </c>
      <c r="B5" s="867" t="s">
        <v>899</v>
      </c>
      <c r="C5" s="868"/>
      <c r="D5" s="869"/>
      <c r="K5" s="664">
        <v>10</v>
      </c>
      <c r="L5" s="508">
        <v>1200000</v>
      </c>
      <c r="M5" s="683">
        <f>288036.8</f>
        <v>288036.8</v>
      </c>
      <c r="N5" s="683">
        <f>L5*5%</f>
        <v>60000</v>
      </c>
      <c r="O5" s="683"/>
      <c r="P5" s="683">
        <f>183840</f>
        <v>183840</v>
      </c>
      <c r="Q5" s="684">
        <v>0.25990000000000002</v>
      </c>
      <c r="R5" s="685">
        <f>L5*Q5</f>
        <v>311880</v>
      </c>
      <c r="S5" s="686">
        <f t="shared" si="0"/>
        <v>843756.8</v>
      </c>
    </row>
    <row r="6" spans="1:21" ht="18.75" customHeight="1" x14ac:dyDescent="0.25">
      <c r="A6" s="733"/>
      <c r="B6" s="166">
        <v>211</v>
      </c>
      <c r="C6" s="734">
        <v>213</v>
      </c>
      <c r="D6" s="735" t="s">
        <v>91</v>
      </c>
      <c r="K6" s="664"/>
      <c r="L6" s="508"/>
      <c r="M6" s="683"/>
      <c r="N6" s="683"/>
      <c r="O6" s="683"/>
      <c r="P6" s="683"/>
      <c r="Q6" s="684"/>
      <c r="R6" s="685"/>
      <c r="S6" s="686"/>
    </row>
    <row r="7" spans="1:21" ht="28.5" customHeight="1" x14ac:dyDescent="0.25">
      <c r="A7" s="121" t="s">
        <v>588</v>
      </c>
      <c r="B7" s="464">
        <f>'расчет з.п.повышенного уровня'!T11+'расчет з.п.базового уровня'!S11</f>
        <v>11136384</v>
      </c>
      <c r="C7" s="78">
        <f>'211,213общая от 29.06.2012'!H34+'211,213общая от 29.06.2012'!H39</f>
        <v>3363187.97</v>
      </c>
      <c r="D7" s="78">
        <f>B7+C7</f>
        <v>14499571.970000001</v>
      </c>
      <c r="K7" s="664">
        <v>14</v>
      </c>
      <c r="L7" s="208">
        <v>109919.22</v>
      </c>
      <c r="M7" s="683"/>
      <c r="N7" s="683">
        <f>L7*5%+0.01</f>
        <v>5495.97</v>
      </c>
      <c r="O7" s="683"/>
      <c r="P7" s="683">
        <v>36833.919999999998</v>
      </c>
      <c r="Q7" s="684">
        <v>0.14680000000000001</v>
      </c>
      <c r="R7" s="685">
        <f>L7*Q7</f>
        <v>16136.14</v>
      </c>
      <c r="S7" s="686">
        <f t="shared" si="0"/>
        <v>58466.03</v>
      </c>
    </row>
    <row r="8" spans="1:21" ht="51.75" customHeight="1" x14ac:dyDescent="0.25">
      <c r="A8" s="121" t="s">
        <v>848</v>
      </c>
      <c r="B8" s="464">
        <f>'расчет з.п.повышенного уровня'!T21+'расчет з.п.базового уровня'!S21</f>
        <v>10047612</v>
      </c>
      <c r="C8" s="78">
        <f>'211,213общая от 29.06.2012'!H35+'211,213общая от 29.06.2012'!H40</f>
        <v>2394622.15</v>
      </c>
      <c r="D8" s="78">
        <f>B8+C8</f>
        <v>12442234.15</v>
      </c>
      <c r="K8" s="664">
        <v>17</v>
      </c>
      <c r="L8" s="508">
        <v>7000</v>
      </c>
      <c r="M8" s="683"/>
      <c r="N8" s="683">
        <f>L8*5%</f>
        <v>350</v>
      </c>
      <c r="O8" s="683"/>
      <c r="P8" s="683"/>
      <c r="Q8" s="684">
        <v>0.29099999999999998</v>
      </c>
      <c r="R8" s="685">
        <f>L8*Q8</f>
        <v>2037</v>
      </c>
      <c r="S8" s="686">
        <f t="shared" si="0"/>
        <v>2387</v>
      </c>
    </row>
    <row r="9" spans="1:21" ht="18.75" customHeight="1" x14ac:dyDescent="0.25">
      <c r="A9" s="208"/>
      <c r="B9" s="126">
        <f>B7+B8</f>
        <v>21183996</v>
      </c>
      <c r="C9" s="126">
        <f>C7+C8</f>
        <v>5757810.1200000001</v>
      </c>
      <c r="D9" s="126">
        <f>D7+D8</f>
        <v>26941806.120000001</v>
      </c>
      <c r="E9" s="76">
        <f>проверка!J4</f>
        <v>21183996</v>
      </c>
      <c r="F9" s="76">
        <f>E9-B9</f>
        <v>0</v>
      </c>
      <c r="G9" s="76">
        <f>'211,213общая от 29.06.2012'!H18</f>
        <v>21289814</v>
      </c>
      <c r="H9" s="76">
        <f>G9-E9</f>
        <v>105818</v>
      </c>
      <c r="K9" s="664">
        <v>13</v>
      </c>
      <c r="L9" s="508">
        <v>1658151.85</v>
      </c>
      <c r="M9" s="683"/>
      <c r="N9" s="683">
        <f>N16+N17+N18</f>
        <v>83905</v>
      </c>
      <c r="O9" s="683"/>
      <c r="P9" s="683">
        <f>46092</f>
        <v>46092</v>
      </c>
      <c r="Q9" s="684">
        <v>0.29099999999999998</v>
      </c>
      <c r="R9" s="685">
        <f>R16+R17+R18</f>
        <v>497057.1</v>
      </c>
      <c r="S9" s="686">
        <f t="shared" si="0"/>
        <v>627054.1</v>
      </c>
      <c r="T9" s="616">
        <f>754362.27-127308.17</f>
        <v>627054.1</v>
      </c>
      <c r="U9" s="616">
        <f>T9-S9</f>
        <v>0</v>
      </c>
    </row>
    <row r="10" spans="1:21" x14ac:dyDescent="0.25">
      <c r="K10" s="437">
        <v>211</v>
      </c>
      <c r="L10" s="437"/>
      <c r="M10" s="441" t="e">
        <f>M3+M4+M5+#REF!+M7+M8+#REF!+#REF!+M9</f>
        <v>#REF!</v>
      </c>
      <c r="N10" s="441" t="e">
        <f>N3+N4+N5+#REF!+N7+N8+#REF!+#REF!+N9</f>
        <v>#REF!</v>
      </c>
      <c r="O10" s="441" t="e">
        <f>O3+O4+O5+#REF!+O7+O8+#REF!+#REF!+O9</f>
        <v>#REF!</v>
      </c>
      <c r="P10" s="441" t="e">
        <f>P3+P4+P5+#REF!+P7+P8+#REF!+#REF!+P9</f>
        <v>#REF!</v>
      </c>
      <c r="Q10" s="441"/>
      <c r="R10" s="441" t="e">
        <f>R3+R4+R5+#REF!+R7+R8+#REF!+#REF!+R9</f>
        <v>#REF!</v>
      </c>
      <c r="S10" s="441" t="e">
        <f>S3+S4+S5+#REF!+S7+S8+#REF!+#REF!+S9</f>
        <v>#REF!</v>
      </c>
      <c r="T10" s="616">
        <f>'[2]смета от 11.01.2012'!$C$40</f>
        <v>8228738.0499999998</v>
      </c>
      <c r="U10" s="688" t="e">
        <f>S10-T10</f>
        <v>#REF!</v>
      </c>
    </row>
    <row r="11" spans="1:21" x14ac:dyDescent="0.25">
      <c r="K11" s="437">
        <v>213</v>
      </c>
      <c r="L11" s="437"/>
      <c r="M11" s="609" t="e">
        <f>M10*30.2%</f>
        <v>#REF!</v>
      </c>
      <c r="N11" s="609" t="e">
        <f>N10*30.2%</f>
        <v>#REF!</v>
      </c>
      <c r="O11" s="609" t="e">
        <f>O10*30.2%</f>
        <v>#REF!</v>
      </c>
      <c r="P11" s="609" t="e">
        <f>P10*30.2%</f>
        <v>#REF!</v>
      </c>
      <c r="Q11" s="609">
        <f>Q10*30.2%</f>
        <v>0</v>
      </c>
      <c r="R11" s="609" t="e">
        <f>R10*30.2%+0.01</f>
        <v>#REF!</v>
      </c>
      <c r="S11" s="441" t="e">
        <f>M11+N11+O11+P11+R11</f>
        <v>#REF!</v>
      </c>
      <c r="T11" s="616">
        <f>'[2]смета от 11.01.2012'!$C$42</f>
        <v>2485078.9</v>
      </c>
      <c r="U11" s="688" t="e">
        <f>S11-T11</f>
        <v>#REF!</v>
      </c>
    </row>
    <row r="12" spans="1:21" x14ac:dyDescent="0.25">
      <c r="A12" s="64" t="s">
        <v>824</v>
      </c>
      <c r="B12" s="64"/>
      <c r="E12" s="76">
        <f>D9-проверка!J4-проверка!J6</f>
        <v>0</v>
      </c>
      <c r="K12" s="208"/>
      <c r="L12" s="208"/>
      <c r="M12" s="208"/>
      <c r="N12" s="208"/>
      <c r="O12" s="208"/>
      <c r="P12" s="208"/>
      <c r="Q12" s="208"/>
      <c r="R12" s="208"/>
      <c r="S12" s="508"/>
    </row>
    <row r="13" spans="1:21" x14ac:dyDescent="0.25">
      <c r="A13" s="64"/>
      <c r="B13" s="64"/>
      <c r="K13" s="665"/>
      <c r="L13" s="665"/>
      <c r="M13" s="665"/>
      <c r="N13" s="665"/>
      <c r="O13" s="665"/>
      <c r="P13" s="665"/>
      <c r="Q13" s="665"/>
      <c r="R13" s="665"/>
      <c r="S13" s="689"/>
    </row>
    <row r="14" spans="1:21" x14ac:dyDescent="0.25">
      <c r="A14" s="68"/>
      <c r="B14" s="68"/>
      <c r="S14" s="616"/>
    </row>
    <row r="15" spans="1:21" x14ac:dyDescent="0.25">
      <c r="A15" s="64" t="s">
        <v>99</v>
      </c>
      <c r="B15" s="64"/>
      <c r="S15" s="688" t="e">
        <f>'[3]смета от 11.01.2012'!$C$19+'[3]смета от 11.01.2012'!$C$20-S10</f>
        <v>#REF!</v>
      </c>
    </row>
    <row r="16" spans="1:21" x14ac:dyDescent="0.25">
      <c r="N16" s="683">
        <f>435500*5%</f>
        <v>21775</v>
      </c>
      <c r="R16" s="616">
        <f>718600*29.1%</f>
        <v>209112.6</v>
      </c>
      <c r="S16" s="616" t="e">
        <f>'[3]смета от 11.01.2012'!$C$23+'[3]смета от 11.01.2012'!$C$24-S11</f>
        <v>#REF!</v>
      </c>
    </row>
    <row r="17" spans="1:18" x14ac:dyDescent="0.25">
      <c r="N17" s="683">
        <f>718600*5%</f>
        <v>35930</v>
      </c>
      <c r="R17" s="616">
        <f>465500*29.1%</f>
        <v>135460.5</v>
      </c>
    </row>
    <row r="18" spans="1:18" x14ac:dyDescent="0.25">
      <c r="N18" s="683">
        <f>524000*5%</f>
        <v>26200</v>
      </c>
      <c r="R18" s="616">
        <f>524000*29.1%</f>
        <v>152484</v>
      </c>
    </row>
    <row r="19" spans="1:18" x14ac:dyDescent="0.25">
      <c r="R19" s="616">
        <f>R9-R16-R17-R18</f>
        <v>0</v>
      </c>
    </row>
    <row r="20" spans="1:18" ht="44.25" customHeight="1" x14ac:dyDescent="0.25">
      <c r="A20" s="861" t="s">
        <v>502</v>
      </c>
      <c r="B20" s="861"/>
    </row>
    <row r="21" spans="1:18" x14ac:dyDescent="0.25">
      <c r="A21" s="64"/>
      <c r="B21" s="64"/>
    </row>
    <row r="22" spans="1:18" ht="35.25" customHeight="1" x14ac:dyDescent="0.25">
      <c r="A22" s="864" t="s">
        <v>826</v>
      </c>
      <c r="B22" s="731" t="s">
        <v>899</v>
      </c>
    </row>
    <row r="23" spans="1:18" ht="25.5" customHeight="1" x14ac:dyDescent="0.25">
      <c r="A23" s="864"/>
      <c r="B23" s="731" t="s">
        <v>602</v>
      </c>
    </row>
    <row r="24" spans="1:18" x14ac:dyDescent="0.25">
      <c r="A24" s="166"/>
      <c r="B24" s="583">
        <v>401101</v>
      </c>
    </row>
    <row r="25" spans="1:18" ht="55.5" customHeight="1" x14ac:dyDescent="0.25">
      <c r="A25" s="121" t="s">
        <v>503</v>
      </c>
      <c r="B25" s="687">
        <f>B7*30.2%</f>
        <v>3363187.97</v>
      </c>
    </row>
    <row r="26" spans="1:18" ht="52.5" customHeight="1" x14ac:dyDescent="0.25">
      <c r="A26" s="121" t="s">
        <v>848</v>
      </c>
      <c r="B26" s="687">
        <f>B8*30.2%</f>
        <v>3034378.82</v>
      </c>
    </row>
    <row r="27" spans="1:18" ht="36.75" customHeight="1" x14ac:dyDescent="0.25">
      <c r="A27" s="416" t="s">
        <v>504</v>
      </c>
      <c r="B27" s="157" t="e">
        <f>#REF!*30.2%</f>
        <v>#REF!</v>
      </c>
    </row>
    <row r="28" spans="1:18" ht="51" customHeight="1" x14ac:dyDescent="0.25">
      <c r="A28" s="121" t="s">
        <v>848</v>
      </c>
      <c r="B28" s="615"/>
    </row>
    <row r="29" spans="1:18" ht="22.5" customHeight="1" x14ac:dyDescent="0.25">
      <c r="A29" s="138" t="s">
        <v>505</v>
      </c>
      <c r="B29" s="126" t="e">
        <f>B25+B26+B27+B28</f>
        <v>#REF!</v>
      </c>
    </row>
    <row r="32" spans="1:18" x14ac:dyDescent="0.25">
      <c r="A32" s="64" t="s">
        <v>824</v>
      </c>
      <c r="B32" s="64"/>
    </row>
    <row r="33" spans="1:2" x14ac:dyDescent="0.25">
      <c r="A33" s="68"/>
      <c r="B33" s="68"/>
    </row>
    <row r="34" spans="1:2" x14ac:dyDescent="0.25">
      <c r="A34" s="64" t="s">
        <v>99</v>
      </c>
      <c r="B34" s="64"/>
    </row>
  </sheetData>
  <mergeCells count="12">
    <mergeCell ref="A20:B20"/>
    <mergeCell ref="S1:S2"/>
    <mergeCell ref="A22:A23"/>
    <mergeCell ref="Q1:R1"/>
    <mergeCell ref="P1:P2"/>
    <mergeCell ref="O1:O2"/>
    <mergeCell ref="N1:N2"/>
    <mergeCell ref="M1:M2"/>
    <mergeCell ref="B5:D5"/>
    <mergeCell ref="A3:D3"/>
    <mergeCell ref="L1:L2"/>
    <mergeCell ref="K1:K2"/>
  </mergeCells>
  <phoneticPr fontId="17" type="noConversion"/>
  <pageMargins left="0" right="0.11811023622047245" top="0.74803149606299213" bottom="0.74803149606299213" header="0.31496062992125984" footer="0.31496062992125984"/>
  <pageSetup paperSize="9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9"/>
  <sheetViews>
    <sheetView topLeftCell="A10" workbookViewId="0">
      <selection activeCell="A3" sqref="A3:I24"/>
    </sheetView>
  </sheetViews>
  <sheetFormatPr defaultRowHeight="15" x14ac:dyDescent="0.25"/>
  <cols>
    <col min="1" max="1" width="19.42578125" style="3" customWidth="1"/>
    <col min="2" max="2" width="10.140625" style="3" customWidth="1"/>
    <col min="3" max="4" width="9.28515625" style="3" customWidth="1"/>
    <col min="5" max="5" width="9.42578125" style="3" customWidth="1"/>
    <col min="6" max="6" width="9.28515625" style="3" customWidth="1"/>
    <col min="7" max="7" width="10.28515625" style="3" customWidth="1"/>
    <col min="8" max="8" width="11.140625" style="3" customWidth="1"/>
    <col min="9" max="9" width="8.42578125" style="3" customWidth="1"/>
    <col min="10" max="10" width="11.42578125" bestFit="1" customWidth="1"/>
    <col min="11" max="11" width="12.42578125" bestFit="1" customWidth="1"/>
    <col min="17" max="17" width="8.28515625" style="3" customWidth="1"/>
    <col min="18" max="18" width="10.42578125" style="3" customWidth="1"/>
    <col min="19" max="19" width="13.7109375" style="3" customWidth="1"/>
    <col min="20" max="23" width="11.28515625" style="3" customWidth="1"/>
    <col min="24" max="24" width="10" style="3" customWidth="1"/>
    <col min="25" max="25" width="12.7109375" style="3" customWidth="1"/>
    <col min="26" max="26" width="13.5703125" style="3" customWidth="1"/>
    <col min="27" max="27" width="13.7109375" style="3" customWidth="1"/>
    <col min="28" max="28" width="9" style="3" customWidth="1"/>
  </cols>
  <sheetData>
    <row r="1" spans="1:28" ht="14.25" customHeight="1" x14ac:dyDescent="0.25">
      <c r="Q1" s="871" t="s">
        <v>500</v>
      </c>
      <c r="R1" s="870" t="s">
        <v>870</v>
      </c>
      <c r="S1" s="865" t="s">
        <v>573</v>
      </c>
      <c r="T1" s="866">
        <v>0.05</v>
      </c>
      <c r="U1" s="880">
        <v>7.0000000000000007E-2</v>
      </c>
      <c r="V1" s="866">
        <v>0.08</v>
      </c>
      <c r="W1" s="866" t="s">
        <v>482</v>
      </c>
      <c r="X1" s="865" t="s">
        <v>499</v>
      </c>
      <c r="Y1" s="865"/>
      <c r="Z1" s="862" t="s">
        <v>854</v>
      </c>
    </row>
    <row r="2" spans="1:28" x14ac:dyDescent="0.25">
      <c r="Q2" s="871"/>
      <c r="R2" s="870"/>
      <c r="S2" s="865"/>
      <c r="T2" s="866"/>
      <c r="U2" s="881"/>
      <c r="V2" s="866"/>
      <c r="W2" s="866"/>
      <c r="X2" s="607" t="s">
        <v>858</v>
      </c>
      <c r="Y2" s="608" t="s">
        <v>671</v>
      </c>
      <c r="Z2" s="863"/>
    </row>
    <row r="3" spans="1:28" ht="27.75" customHeight="1" x14ac:dyDescent="0.25">
      <c r="A3" s="861" t="s">
        <v>501</v>
      </c>
      <c r="B3" s="861"/>
      <c r="C3" s="861"/>
      <c r="D3" s="861"/>
      <c r="E3" s="861"/>
      <c r="F3" s="861"/>
      <c r="G3" s="861"/>
      <c r="H3" s="861"/>
      <c r="I3" s="861"/>
      <c r="Q3" s="768">
        <v>15</v>
      </c>
      <c r="R3" s="696">
        <v>5403860.4000000004</v>
      </c>
      <c r="S3" s="769">
        <f>164362.79+1146714.56</f>
        <v>1311077.3500000001</v>
      </c>
      <c r="T3" s="769"/>
      <c r="U3" s="769"/>
      <c r="V3" s="769"/>
      <c r="W3" s="769">
        <v>63602.06</v>
      </c>
      <c r="X3" s="770">
        <v>0.31</v>
      </c>
      <c r="Y3" s="771">
        <f>R3*X3+0.01</f>
        <v>1675196.73</v>
      </c>
      <c r="Z3" s="772">
        <f>S3+T3+V3+W3+Y3</f>
        <v>3049876.14</v>
      </c>
    </row>
    <row r="4" spans="1:28" x14ac:dyDescent="0.25">
      <c r="A4" s="64"/>
      <c r="B4" s="64"/>
      <c r="C4" s="64"/>
      <c r="D4" s="64"/>
      <c r="E4" s="64"/>
      <c r="F4" s="64"/>
      <c r="G4" s="64"/>
      <c r="H4" s="64"/>
      <c r="I4" s="64"/>
      <c r="Q4" s="768">
        <v>16</v>
      </c>
      <c r="R4" s="704">
        <v>3682850.63</v>
      </c>
      <c r="S4" s="769">
        <f>961760</f>
        <v>961760</v>
      </c>
      <c r="T4" s="769"/>
      <c r="U4" s="769"/>
      <c r="V4" s="769">
        <f>R4*8%+0.01</f>
        <v>294628.06</v>
      </c>
      <c r="W4" s="769"/>
      <c r="X4" s="770">
        <v>0.27839999999999998</v>
      </c>
      <c r="Y4" s="771">
        <f>R4*X4</f>
        <v>1025305.62</v>
      </c>
      <c r="Z4" s="772">
        <f>S4+T4+V4+W4+Y4</f>
        <v>2281693.6800000002</v>
      </c>
    </row>
    <row r="5" spans="1:28" ht="33.75" customHeight="1" x14ac:dyDescent="0.25">
      <c r="A5" s="864" t="s">
        <v>750</v>
      </c>
      <c r="B5" s="872" t="s">
        <v>719</v>
      </c>
      <c r="C5" s="867" t="s">
        <v>899</v>
      </c>
      <c r="D5" s="868"/>
      <c r="E5" s="868"/>
      <c r="F5" s="868"/>
      <c r="G5" s="868"/>
      <c r="H5" s="868"/>
      <c r="I5" s="493" t="s">
        <v>594</v>
      </c>
      <c r="Q5" s="768">
        <v>10</v>
      </c>
      <c r="R5" s="696">
        <v>975000</v>
      </c>
      <c r="S5" s="769">
        <v>246916.17</v>
      </c>
      <c r="T5" s="769">
        <f>(308000+85000)*5%</f>
        <v>19650</v>
      </c>
      <c r="U5" s="769">
        <f>(291000+291000)*7%</f>
        <v>40740</v>
      </c>
      <c r="V5" s="769"/>
      <c r="W5" s="769">
        <v>153292.24</v>
      </c>
      <c r="X5" s="770">
        <v>0.26369999999999999</v>
      </c>
      <c r="Y5" s="771">
        <f>R5*X5</f>
        <v>257107.5</v>
      </c>
      <c r="Z5" s="772">
        <f>S5+T5+U5+V5+W5+Y5</f>
        <v>717705.91</v>
      </c>
    </row>
    <row r="6" spans="1:28" ht="13.5" customHeight="1" x14ac:dyDescent="0.25">
      <c r="A6" s="864"/>
      <c r="B6" s="873"/>
      <c r="C6" s="875" t="s">
        <v>601</v>
      </c>
      <c r="D6" s="877" t="s">
        <v>602</v>
      </c>
      <c r="E6" s="878"/>
      <c r="F6" s="878"/>
      <c r="G6" s="878"/>
      <c r="H6" s="878"/>
      <c r="I6" s="879"/>
      <c r="Q6" s="768">
        <v>5</v>
      </c>
      <c r="R6" s="696">
        <v>1482854</v>
      </c>
      <c r="S6" s="769">
        <f>79401.42</f>
        <v>79401.42</v>
      </c>
      <c r="T6" s="769">
        <f>R6*5%</f>
        <v>74142.7</v>
      </c>
      <c r="U6" s="769"/>
      <c r="V6" s="769"/>
      <c r="W6" s="769">
        <f>125760+17516.8</f>
        <v>143276.79999999999</v>
      </c>
      <c r="X6" s="770">
        <v>0.217</v>
      </c>
      <c r="Y6" s="771">
        <f>R6*X6</f>
        <v>321779.32</v>
      </c>
      <c r="Z6" s="772">
        <f>S6+T6+V6+W6+Y6</f>
        <v>618600.24</v>
      </c>
    </row>
    <row r="7" spans="1:28" x14ac:dyDescent="0.25">
      <c r="A7" s="864"/>
      <c r="B7" s="874"/>
      <c r="C7" s="876"/>
      <c r="D7" s="583">
        <v>401101</v>
      </c>
      <c r="E7" s="583">
        <v>401102</v>
      </c>
      <c r="F7" s="583">
        <v>401201</v>
      </c>
      <c r="G7" s="583">
        <v>401202</v>
      </c>
      <c r="H7" s="583" t="s">
        <v>854</v>
      </c>
      <c r="I7" s="690"/>
      <c r="Q7" s="768">
        <v>14</v>
      </c>
      <c r="R7" s="704">
        <v>109919.22</v>
      </c>
      <c r="S7" s="769"/>
      <c r="T7" s="769">
        <f>(R7*20%)*1.15*1.19-0.01</f>
        <v>30084.880000000001</v>
      </c>
      <c r="U7" s="769"/>
      <c r="V7" s="769"/>
      <c r="W7" s="769"/>
      <c r="X7" s="770">
        <f>(18.87*1.15*1.19)%</f>
        <v>0.25819999999999999</v>
      </c>
      <c r="Y7" s="771">
        <f>R7*X7+0.01</f>
        <v>28381.15</v>
      </c>
      <c r="Z7" s="772">
        <f>S7+T7+U7+V7+W7+Y7</f>
        <v>58466.03</v>
      </c>
    </row>
    <row r="8" spans="1:28" ht="54" customHeight="1" x14ac:dyDescent="0.25">
      <c r="A8" s="121" t="s">
        <v>60</v>
      </c>
      <c r="B8" s="692">
        <f>C8+D8+E8+F8+G8</f>
        <v>2387700</v>
      </c>
      <c r="C8" s="121"/>
      <c r="D8" s="208"/>
      <c r="E8" s="208"/>
      <c r="F8" s="687">
        <f>'расчет з.п.повышенного уровня'!T11</f>
        <v>2387700</v>
      </c>
      <c r="G8" s="687"/>
      <c r="H8" s="508">
        <f>D8+F8</f>
        <v>2387700</v>
      </c>
      <c r="I8" s="464"/>
      <c r="Q8" s="768">
        <v>17</v>
      </c>
      <c r="R8" s="696">
        <v>7000</v>
      </c>
      <c r="S8" s="769"/>
      <c r="T8" s="769">
        <f>R8*5%</f>
        <v>350</v>
      </c>
      <c r="U8" s="769"/>
      <c r="V8" s="769"/>
      <c r="W8" s="769"/>
      <c r="X8" s="770">
        <v>0.29099999999999998</v>
      </c>
      <c r="Y8" s="771">
        <f>R8*X8</f>
        <v>2037</v>
      </c>
      <c r="Z8" s="772">
        <f>S8+T8+V8+W8+Y8</f>
        <v>2387</v>
      </c>
    </row>
    <row r="9" spans="1:28" ht="51.75" customHeight="1" x14ac:dyDescent="0.25">
      <c r="A9" s="121" t="s">
        <v>848</v>
      </c>
      <c r="B9" s="692">
        <f>C9+D9+E9+F9+G9</f>
        <v>2028811.6</v>
      </c>
      <c r="C9" s="121"/>
      <c r="D9" s="208"/>
      <c r="E9" s="208"/>
      <c r="F9" s="208"/>
      <c r="G9" s="687">
        <f>'расчет з.п.повышенного уровня'!T21+21163.6</f>
        <v>2028811.6</v>
      </c>
      <c r="H9" s="508">
        <f>D9+G9</f>
        <v>2028811.6</v>
      </c>
      <c r="I9" s="464"/>
      <c r="Q9" s="768">
        <v>11</v>
      </c>
      <c r="R9" s="696">
        <v>641469.86</v>
      </c>
      <c r="S9" s="769"/>
      <c r="T9" s="769"/>
      <c r="U9" s="769"/>
      <c r="V9" s="769"/>
      <c r="W9" s="769">
        <f>R9*70.9%</f>
        <v>454802.13</v>
      </c>
      <c r="X9" s="770">
        <v>0.29099999999999998</v>
      </c>
      <c r="Y9" s="771">
        <f>R9*X9</f>
        <v>186667.73</v>
      </c>
      <c r="Z9" s="772">
        <f>S9+T9+V9+W9+Y9</f>
        <v>641469.86</v>
      </c>
    </row>
    <row r="10" spans="1:28" ht="12.75" customHeight="1" x14ac:dyDescent="0.25">
      <c r="A10" s="121" t="s">
        <v>880</v>
      </c>
      <c r="B10" s="692"/>
      <c r="C10" s="121"/>
      <c r="D10" s="208"/>
      <c r="E10" s="208"/>
      <c r="F10" s="208"/>
      <c r="G10" s="687">
        <f>G9-G11-G12</f>
        <v>1694947.6</v>
      </c>
      <c r="H10" s="508">
        <f>D10+E10+F10+G10</f>
        <v>1694947.6</v>
      </c>
      <c r="I10" s="464"/>
      <c r="Q10" s="768"/>
      <c r="R10" s="696"/>
      <c r="S10" s="769"/>
      <c r="T10" s="769"/>
      <c r="U10" s="769"/>
      <c r="V10" s="769"/>
      <c r="W10" s="769"/>
      <c r="X10" s="770"/>
      <c r="Y10" s="771"/>
      <c r="Z10" s="772"/>
    </row>
    <row r="11" spans="1:28" ht="12.75" customHeight="1" x14ac:dyDescent="0.25">
      <c r="A11" s="121" t="s">
        <v>882</v>
      </c>
      <c r="B11" s="692"/>
      <c r="C11" s="121"/>
      <c r="D11" s="208"/>
      <c r="E11" s="208"/>
      <c r="F11" s="208"/>
      <c r="G11" s="687">
        <v>157344</v>
      </c>
      <c r="H11" s="508">
        <f>D11+E11+F11+G11</f>
        <v>157344</v>
      </c>
      <c r="I11" s="464"/>
      <c r="Q11" s="768"/>
      <c r="R11" s="696"/>
      <c r="S11" s="769"/>
      <c r="T11" s="769"/>
      <c r="U11" s="769"/>
      <c r="V11" s="769"/>
      <c r="W11" s="769"/>
      <c r="X11" s="770"/>
      <c r="Y11" s="771"/>
      <c r="Z11" s="772"/>
    </row>
    <row r="12" spans="1:28" ht="12.75" customHeight="1" x14ac:dyDescent="0.25">
      <c r="A12" s="121" t="s">
        <v>881</v>
      </c>
      <c r="B12" s="692"/>
      <c r="C12" s="121"/>
      <c r="D12" s="208"/>
      <c r="E12" s="208"/>
      <c r="F12" s="208"/>
      <c r="G12" s="687">
        <v>176520</v>
      </c>
      <c r="H12" s="508">
        <f>D12+E12+F12+G12</f>
        <v>176520</v>
      </c>
      <c r="I12" s="464"/>
      <c r="Q12" s="768"/>
      <c r="R12" s="696"/>
      <c r="S12" s="769"/>
      <c r="T12" s="769"/>
      <c r="U12" s="769"/>
      <c r="V12" s="769"/>
      <c r="W12" s="769"/>
      <c r="X12" s="770"/>
      <c r="Y12" s="771"/>
      <c r="Z12" s="772"/>
    </row>
    <row r="13" spans="1:28" ht="37.5" customHeight="1" x14ac:dyDescent="0.25">
      <c r="A13" s="416" t="s">
        <v>59</v>
      </c>
      <c r="B13" s="692">
        <f>C13+D13+E13+F13+G13</f>
        <v>11347838.939999999</v>
      </c>
      <c r="C13" s="464">
        <f>S20</f>
        <v>2599154.94</v>
      </c>
      <c r="D13" s="157">
        <f>'расчет з.п.базового уровня'!S11</f>
        <v>8748684</v>
      </c>
      <c r="E13" s="157"/>
      <c r="F13" s="208"/>
      <c r="G13" s="208"/>
      <c r="H13" s="508">
        <f>D13+F13</f>
        <v>8748684</v>
      </c>
      <c r="I13" s="464"/>
      <c r="K13" s="602">
        <f>H8+H13</f>
        <v>11136384</v>
      </c>
      <c r="Q13" s="768">
        <v>8</v>
      </c>
      <c r="R13" s="704">
        <v>863106.27</v>
      </c>
      <c r="S13" s="769"/>
      <c r="T13" s="769">
        <f>R13*5%+0.01</f>
        <v>43155.32</v>
      </c>
      <c r="U13" s="769"/>
      <c r="V13" s="769"/>
      <c r="W13" s="769"/>
      <c r="X13" s="770">
        <v>0.14349999999999999</v>
      </c>
      <c r="Y13" s="771">
        <f>R13*X13</f>
        <v>123855.75</v>
      </c>
      <c r="Z13" s="772">
        <f>S13+T13+V13+W13+Y13</f>
        <v>167011.07</v>
      </c>
    </row>
    <row r="14" spans="1:28" ht="50.25" customHeight="1" x14ac:dyDescent="0.25">
      <c r="A14" s="121" t="s">
        <v>848</v>
      </c>
      <c r="B14" s="692">
        <f>C14+D14+E14+F14+G14</f>
        <v>13926775.85</v>
      </c>
      <c r="C14" s="464">
        <f>T20+U20+V20+W20+Y20</f>
        <v>5802157.4500000002</v>
      </c>
      <c r="D14" s="208"/>
      <c r="E14" s="687">
        <f>'расчет з.п.базового уровня'!S21+84654.4</f>
        <v>8124618.4000000004</v>
      </c>
      <c r="F14" s="208"/>
      <c r="G14" s="208"/>
      <c r="H14" s="508">
        <f>E14+F14</f>
        <v>8124618.4000000004</v>
      </c>
      <c r="I14" s="464"/>
      <c r="Q14" s="768">
        <v>13</v>
      </c>
      <c r="R14" s="696">
        <f>465500+718600+524000</f>
        <v>1708100</v>
      </c>
      <c r="S14" s="769"/>
      <c r="T14" s="769">
        <f>26200+35930+17275</f>
        <v>79405</v>
      </c>
      <c r="U14" s="769"/>
      <c r="V14" s="769"/>
      <c r="W14" s="769">
        <f>46092</f>
        <v>46092</v>
      </c>
      <c r="X14" s="770">
        <v>0.29099999999999998</v>
      </c>
      <c r="Y14" s="771">
        <f>R14*X14</f>
        <v>497057.1</v>
      </c>
      <c r="Z14" s="772">
        <f>S14+T14+V14+W14+Y14</f>
        <v>622554.1</v>
      </c>
      <c r="AA14" s="3">
        <f>123855.75+127308.17</f>
        <v>251163.92</v>
      </c>
      <c r="AB14" s="688">
        <f>AA14-Y13</f>
        <v>127308.17</v>
      </c>
    </row>
    <row r="15" spans="1:28" ht="12.75" customHeight="1" x14ac:dyDescent="0.25">
      <c r="A15" s="121" t="s">
        <v>880</v>
      </c>
      <c r="B15" s="692"/>
      <c r="C15" s="464"/>
      <c r="D15" s="208"/>
      <c r="E15" s="687">
        <f>E14-E16-E17</f>
        <v>6789162.4000000004</v>
      </c>
      <c r="F15" s="208"/>
      <c r="G15" s="208"/>
      <c r="H15" s="508">
        <f>D15+E15+F15+G15</f>
        <v>6789162.4000000004</v>
      </c>
      <c r="I15" s="464"/>
      <c r="Q15" s="768"/>
      <c r="R15" s="696"/>
      <c r="S15" s="769"/>
      <c r="T15" s="769"/>
      <c r="U15" s="769"/>
      <c r="V15" s="769"/>
      <c r="W15" s="769"/>
      <c r="X15" s="770"/>
      <c r="Y15" s="771"/>
      <c r="Z15" s="772"/>
      <c r="AB15" s="688"/>
    </row>
    <row r="16" spans="1:28" ht="12.75" customHeight="1" x14ac:dyDescent="0.25">
      <c r="A16" s="121" t="s">
        <v>882</v>
      </c>
      <c r="B16" s="692"/>
      <c r="C16" s="464"/>
      <c r="D16" s="208"/>
      <c r="E16" s="687">
        <v>629376</v>
      </c>
      <c r="F16" s="208"/>
      <c r="G16" s="208"/>
      <c r="H16" s="508">
        <f>D16+E16+F16+G16</f>
        <v>629376</v>
      </c>
      <c r="I16" s="464"/>
      <c r="Q16" s="768"/>
      <c r="R16" s="696"/>
      <c r="S16" s="769"/>
      <c r="T16" s="769"/>
      <c r="U16" s="769"/>
      <c r="V16" s="769"/>
      <c r="W16" s="769"/>
      <c r="X16" s="770"/>
      <c r="Y16" s="771"/>
      <c r="Z16" s="772"/>
      <c r="AB16" s="688"/>
    </row>
    <row r="17" spans="1:28" ht="12.75" customHeight="1" x14ac:dyDescent="0.25">
      <c r="A17" s="121" t="s">
        <v>881</v>
      </c>
      <c r="B17" s="692"/>
      <c r="C17" s="464"/>
      <c r="D17" s="208"/>
      <c r="E17" s="687">
        <v>706080</v>
      </c>
      <c r="F17" s="208"/>
      <c r="G17" s="208"/>
      <c r="H17" s="508">
        <f>D17+E17+F17+G17</f>
        <v>706080</v>
      </c>
      <c r="I17" s="464"/>
      <c r="Q17" s="768"/>
      <c r="R17" s="696"/>
      <c r="S17" s="769"/>
      <c r="T17" s="769"/>
      <c r="U17" s="769"/>
      <c r="V17" s="769"/>
      <c r="W17" s="769"/>
      <c r="X17" s="770"/>
      <c r="Y17" s="771"/>
      <c r="Z17" s="772"/>
      <c r="AB17" s="688"/>
    </row>
    <row r="18" spans="1:28" ht="18.75" customHeight="1" x14ac:dyDescent="0.25">
      <c r="A18" s="138" t="s">
        <v>828</v>
      </c>
      <c r="B18" s="142">
        <f t="shared" ref="B18:G18" si="0">B8+B9+B13+B14</f>
        <v>29691126.390000001</v>
      </c>
      <c r="C18" s="126">
        <f t="shared" si="0"/>
        <v>8401312.3900000006</v>
      </c>
      <c r="D18" s="142">
        <f t="shared" si="0"/>
        <v>8748684</v>
      </c>
      <c r="E18" s="142">
        <f t="shared" si="0"/>
        <v>8124618.4000000004</v>
      </c>
      <c r="F18" s="142">
        <f t="shared" si="0"/>
        <v>2387700</v>
      </c>
      <c r="G18" s="142">
        <f t="shared" si="0"/>
        <v>2028811.6</v>
      </c>
      <c r="H18" s="126">
        <f>F8+G9+D13+E14</f>
        <v>21289814</v>
      </c>
      <c r="I18" s="126">
        <f>I8+I9+I13+I14</f>
        <v>0</v>
      </c>
      <c r="Q18" s="768">
        <v>13</v>
      </c>
      <c r="R18" s="704"/>
      <c r="S18" s="704"/>
      <c r="T18" s="704"/>
      <c r="U18" s="704"/>
      <c r="V18" s="704"/>
      <c r="W18" s="704"/>
      <c r="X18" s="773">
        <v>0.14749999999999999</v>
      </c>
      <c r="Y18" s="591">
        <f>R13*X18</f>
        <v>127308.17</v>
      </c>
      <c r="Z18" s="696">
        <f>S18+T18+U18+V18+W18+Y18</f>
        <v>127308.17</v>
      </c>
      <c r="AA18" s="616">
        <f>754362.27-127308.17</f>
        <v>627054.1</v>
      </c>
      <c r="AB18" s="616">
        <f>AA18-Z14</f>
        <v>4500</v>
      </c>
    </row>
    <row r="19" spans="1:28" x14ac:dyDescent="0.25">
      <c r="Q19" s="768">
        <v>21</v>
      </c>
      <c r="R19" s="768">
        <v>565593.48</v>
      </c>
      <c r="S19" s="704"/>
      <c r="T19" s="591">
        <f>R19*5%+0.01</f>
        <v>28279.68</v>
      </c>
      <c r="U19" s="704"/>
      <c r="V19" s="704"/>
      <c r="W19" s="704"/>
      <c r="X19" s="773">
        <f>2.02%+3.49%+9.68%</f>
        <v>0.15190000000000001</v>
      </c>
      <c r="Y19" s="591">
        <f>R19*X19+46.86</f>
        <v>85960.51</v>
      </c>
      <c r="Z19" s="696">
        <f>T19+U19+V19+W19+Y19</f>
        <v>114240.19</v>
      </c>
      <c r="AA19" s="616">
        <f>'[2]смета от 11.01.2012'!$C$40</f>
        <v>8228738.0499999998</v>
      </c>
      <c r="AB19" s="688">
        <f>Z20-AA19</f>
        <v>172574.34</v>
      </c>
    </row>
    <row r="20" spans="1:28" x14ac:dyDescent="0.25">
      <c r="Q20" s="437">
        <v>211</v>
      </c>
      <c r="R20" s="437"/>
      <c r="S20" s="441">
        <f>S3+S4+S5+S6+S7+S8+S9+S13+S14+S18+S19</f>
        <v>2599154.94</v>
      </c>
      <c r="T20" s="441">
        <f>T3+T4+T5+T6+T7+T8+T9+T13+T14+T18+T19</f>
        <v>275067.58</v>
      </c>
      <c r="U20" s="441">
        <f t="shared" ref="U20:Z20" si="1">U3+U4+U5+U6+U7+U8+U9+U13+U14+U18+U19</f>
        <v>40740</v>
      </c>
      <c r="V20" s="441">
        <f t="shared" si="1"/>
        <v>294628.06</v>
      </c>
      <c r="W20" s="441">
        <f t="shared" si="1"/>
        <v>861065.23</v>
      </c>
      <c r="X20" s="441">
        <f t="shared" si="1"/>
        <v>2.64</v>
      </c>
      <c r="Y20" s="441">
        <f t="shared" si="1"/>
        <v>4330656.58</v>
      </c>
      <c r="Z20" s="441">
        <f t="shared" si="1"/>
        <v>8401312.3900000006</v>
      </c>
      <c r="AA20" s="616">
        <f>'[2]смета от 11.01.2012'!$C$42</f>
        <v>2485078.9</v>
      </c>
      <c r="AB20" s="688">
        <f>Z21-AA20</f>
        <v>52117.45</v>
      </c>
    </row>
    <row r="21" spans="1:28" x14ac:dyDescent="0.25">
      <c r="A21" s="64" t="s">
        <v>824</v>
      </c>
      <c r="B21" s="64"/>
      <c r="C21" s="64"/>
      <c r="D21" s="64"/>
      <c r="E21" s="64"/>
      <c r="F21" s="64"/>
      <c r="G21" s="64"/>
      <c r="H21" s="509" t="s">
        <v>825</v>
      </c>
      <c r="J21" s="76">
        <f>H8+D13</f>
        <v>11136384</v>
      </c>
      <c r="Q21" s="437">
        <v>213</v>
      </c>
      <c r="R21" s="437"/>
      <c r="S21" s="609">
        <f>S20*30.2%</f>
        <v>784944.79</v>
      </c>
      <c r="T21" s="609">
        <f>T20*30.2%</f>
        <v>83070.41</v>
      </c>
      <c r="U21" s="609">
        <f>U20*30.2%</f>
        <v>12303.48</v>
      </c>
      <c r="V21" s="609">
        <f>V20*30.2%</f>
        <v>88977.67</v>
      </c>
      <c r="W21" s="609">
        <f>W20*30.2%</f>
        <v>260041.7</v>
      </c>
      <c r="X21" s="609"/>
      <c r="Y21" s="609">
        <f>Y20*30.2%+0.01</f>
        <v>1307858.3</v>
      </c>
      <c r="Z21" s="441">
        <f>S21+T21+U21+V21+W21+Y21</f>
        <v>2537196.35</v>
      </c>
    </row>
    <row r="22" spans="1:28" x14ac:dyDescent="0.25">
      <c r="A22" s="64"/>
      <c r="B22" s="64"/>
      <c r="C22" s="64"/>
      <c r="D22" s="64"/>
      <c r="E22" s="64"/>
      <c r="F22" s="64"/>
      <c r="G22" s="64"/>
      <c r="H22" s="509"/>
      <c r="J22" s="76">
        <f>H9+H14</f>
        <v>10153430</v>
      </c>
      <c r="Q22" s="208"/>
      <c r="R22" s="208"/>
      <c r="S22" s="208"/>
      <c r="T22" s="208"/>
      <c r="U22" s="208"/>
      <c r="V22" s="208"/>
      <c r="W22" s="208"/>
      <c r="X22" s="208"/>
      <c r="Y22" s="208"/>
      <c r="Z22" s="508"/>
    </row>
    <row r="23" spans="1:28" x14ac:dyDescent="0.25">
      <c r="A23" s="68"/>
      <c r="B23" s="68"/>
      <c r="C23" s="68"/>
      <c r="D23" s="68"/>
      <c r="E23" s="68"/>
      <c r="F23" s="68"/>
      <c r="G23" s="68"/>
      <c r="H23" s="68"/>
      <c r="Z23" s="616"/>
    </row>
    <row r="24" spans="1:28" x14ac:dyDescent="0.25">
      <c r="A24" s="64" t="s">
        <v>99</v>
      </c>
      <c r="B24" s="64"/>
      <c r="C24" s="64"/>
      <c r="D24" s="64"/>
      <c r="E24" s="64"/>
      <c r="F24" s="64"/>
      <c r="G24" s="64"/>
      <c r="H24" s="64" t="s">
        <v>897</v>
      </c>
      <c r="Z24" s="688" t="e">
        <f>'[3]смета от 11.01.2012'!$C$19+'[3]смета от 11.01.2012'!$C$20-Z20</f>
        <v>#REF!</v>
      </c>
    </row>
    <row r="25" spans="1:28" x14ac:dyDescent="0.25">
      <c r="T25" s="683">
        <f>435500*5%</f>
        <v>21775</v>
      </c>
      <c r="U25" s="767"/>
      <c r="Y25" s="616">
        <f>718600*29.1%</f>
        <v>209112.6</v>
      </c>
      <c r="Z25" s="616" t="e">
        <f>'[3]смета от 11.01.2012'!$C$23+'[3]смета от 11.01.2012'!$C$24-Z21</f>
        <v>#REF!</v>
      </c>
    </row>
    <row r="26" spans="1:28" x14ac:dyDescent="0.25">
      <c r="T26" s="683">
        <f>718600*5%</f>
        <v>35930</v>
      </c>
      <c r="U26" s="767"/>
      <c r="Y26" s="616">
        <f>465500*29.1%</f>
        <v>135460.5</v>
      </c>
    </row>
    <row r="27" spans="1:28" x14ac:dyDescent="0.25">
      <c r="T27" s="683">
        <f>524000*5%</f>
        <v>26200</v>
      </c>
      <c r="U27" s="767"/>
      <c r="Y27" s="616">
        <f>524000*29.1%</f>
        <v>152484</v>
      </c>
    </row>
    <row r="28" spans="1:28" x14ac:dyDescent="0.25">
      <c r="Y28" s="616">
        <f>Y14-Y25-Y26-Y27</f>
        <v>0</v>
      </c>
    </row>
    <row r="29" spans="1:28" ht="44.25" customHeight="1" x14ac:dyDescent="0.25">
      <c r="A29" s="861" t="s">
        <v>502</v>
      </c>
      <c r="B29" s="861"/>
      <c r="C29" s="861"/>
      <c r="D29" s="861"/>
      <c r="E29" s="861"/>
      <c r="F29" s="861"/>
      <c r="G29" s="861"/>
      <c r="H29" s="861"/>
      <c r="I29" s="861"/>
    </row>
    <row r="30" spans="1:28" x14ac:dyDescent="0.25">
      <c r="A30" s="64"/>
      <c r="B30" s="64"/>
      <c r="C30" s="64"/>
      <c r="D30" s="64"/>
      <c r="E30" s="64"/>
      <c r="F30" s="64"/>
      <c r="G30" s="64"/>
      <c r="H30" s="64"/>
      <c r="I30" s="64"/>
    </row>
    <row r="31" spans="1:28" ht="35.25" customHeight="1" x14ac:dyDescent="0.25">
      <c r="A31" s="864" t="s">
        <v>750</v>
      </c>
      <c r="B31" s="872" t="s">
        <v>719</v>
      </c>
      <c r="C31" s="867" t="s">
        <v>899</v>
      </c>
      <c r="D31" s="868"/>
      <c r="E31" s="868"/>
      <c r="F31" s="868"/>
      <c r="G31" s="868"/>
      <c r="H31" s="868"/>
      <c r="I31" s="493" t="s">
        <v>594</v>
      </c>
    </row>
    <row r="32" spans="1:28" ht="25.5" customHeight="1" x14ac:dyDescent="0.25">
      <c r="A32" s="864"/>
      <c r="B32" s="873"/>
      <c r="C32" s="875" t="s">
        <v>601</v>
      </c>
      <c r="D32" s="877" t="s">
        <v>602</v>
      </c>
      <c r="E32" s="878"/>
      <c r="F32" s="878"/>
      <c r="G32" s="878"/>
      <c r="H32" s="878"/>
      <c r="I32" s="879"/>
    </row>
    <row r="33" spans="1:11" x14ac:dyDescent="0.25">
      <c r="A33" s="864"/>
      <c r="B33" s="874"/>
      <c r="C33" s="876"/>
      <c r="D33" s="583">
        <v>401101</v>
      </c>
      <c r="E33" s="583">
        <v>401102</v>
      </c>
      <c r="F33" s="583">
        <v>401201</v>
      </c>
      <c r="G33" s="583">
        <v>401202</v>
      </c>
      <c r="H33" s="583" t="s">
        <v>854</v>
      </c>
      <c r="I33" s="690"/>
    </row>
    <row r="34" spans="1:11" ht="55.5" customHeight="1" x14ac:dyDescent="0.25">
      <c r="A34" s="121" t="s">
        <v>503</v>
      </c>
      <c r="B34" s="692">
        <f>C34+D34+E34+F34+G34</f>
        <v>721085.4</v>
      </c>
      <c r="C34" s="121"/>
      <c r="D34" s="687">
        <f>D8*30.2%</f>
        <v>0</v>
      </c>
      <c r="E34" s="687">
        <f>E8*30.2%</f>
        <v>0</v>
      </c>
      <c r="F34" s="687">
        <f>F8*30.2%</f>
        <v>721085.4</v>
      </c>
      <c r="G34" s="687">
        <f>G8*30.2%</f>
        <v>0</v>
      </c>
      <c r="H34" s="687">
        <f t="shared" ref="H34:H43" si="2">D34+E34+F34+G34</f>
        <v>721085.4</v>
      </c>
      <c r="I34" s="464">
        <v>0</v>
      </c>
    </row>
    <row r="35" spans="1:11" ht="52.5" customHeight="1" x14ac:dyDescent="0.25">
      <c r="A35" s="121" t="s">
        <v>848</v>
      </c>
      <c r="B35" s="692">
        <f>C35+D35+E35+F35+G35</f>
        <v>473570.19</v>
      </c>
      <c r="C35" s="121"/>
      <c r="D35" s="687">
        <f>D9*30.2%</f>
        <v>0</v>
      </c>
      <c r="E35" s="687">
        <f>E9*30.2%</f>
        <v>0</v>
      </c>
      <c r="F35" s="687"/>
      <c r="G35" s="687">
        <f>проверка!N14-'211,213общая от 29.06.2012'!F34</f>
        <v>473570.19</v>
      </c>
      <c r="H35" s="687">
        <f t="shared" si="2"/>
        <v>473570.19</v>
      </c>
      <c r="I35" s="464">
        <f>G9*30.2%-H35</f>
        <v>139130.91</v>
      </c>
      <c r="K35" s="602">
        <f>H34+H39</f>
        <v>3363187.97</v>
      </c>
    </row>
    <row r="36" spans="1:11" ht="13.7" customHeight="1" x14ac:dyDescent="0.25">
      <c r="A36" s="121" t="s">
        <v>880</v>
      </c>
      <c r="B36" s="692"/>
      <c r="C36" s="121"/>
      <c r="D36" s="774"/>
      <c r="E36" s="687"/>
      <c r="F36" s="687"/>
      <c r="G36" s="687">
        <f>'211,213 от 29.06.2012 г.'!E36</f>
        <v>372743.26</v>
      </c>
      <c r="H36" s="687">
        <f t="shared" si="2"/>
        <v>372743.26</v>
      </c>
      <c r="I36" s="464"/>
      <c r="K36" s="602"/>
    </row>
    <row r="37" spans="1:11" ht="13.7" customHeight="1" x14ac:dyDescent="0.25">
      <c r="A37" s="121" t="s">
        <v>882</v>
      </c>
      <c r="B37" s="692"/>
      <c r="C37" s="121"/>
      <c r="D37" s="774"/>
      <c r="E37" s="687"/>
      <c r="F37" s="687"/>
      <c r="G37" s="687">
        <f>'211,213 от 29.06.2012 г.'!E37</f>
        <v>47517.89</v>
      </c>
      <c r="H37" s="687">
        <f t="shared" si="2"/>
        <v>47517.89</v>
      </c>
      <c r="I37" s="464"/>
      <c r="K37" s="602"/>
    </row>
    <row r="38" spans="1:11" ht="13.7" customHeight="1" x14ac:dyDescent="0.25">
      <c r="A38" s="121" t="s">
        <v>881</v>
      </c>
      <c r="B38" s="692"/>
      <c r="C38" s="121"/>
      <c r="D38" s="774"/>
      <c r="E38" s="687"/>
      <c r="F38" s="687"/>
      <c r="G38" s="687">
        <f>'211,213 от 29.06.2012 г.'!E38</f>
        <v>53309.04</v>
      </c>
      <c r="H38" s="687">
        <f t="shared" si="2"/>
        <v>53309.04</v>
      </c>
      <c r="I38" s="464"/>
      <c r="K38" s="602"/>
    </row>
    <row r="39" spans="1:11" ht="36.75" customHeight="1" x14ac:dyDescent="0.25">
      <c r="A39" s="416" t="s">
        <v>504</v>
      </c>
      <c r="B39" s="692">
        <f>C39+D39+E39+F39+G39</f>
        <v>3427047.36</v>
      </c>
      <c r="C39" s="694">
        <f>C13*30.2%</f>
        <v>784944.79188000003</v>
      </c>
      <c r="D39" s="693">
        <f>D13*30.2%</f>
        <v>2642102.5699999998</v>
      </c>
      <c r="E39" s="157">
        <f>E13*30.2%</f>
        <v>0</v>
      </c>
      <c r="F39" s="157">
        <f>F13*30.2%</f>
        <v>0</v>
      </c>
      <c r="G39" s="157">
        <f>G13*30.2%</f>
        <v>0</v>
      </c>
      <c r="H39" s="687">
        <f t="shared" si="2"/>
        <v>2642102.5699999998</v>
      </c>
      <c r="I39" s="464">
        <v>0</v>
      </c>
    </row>
    <row r="40" spans="1:11" ht="51" customHeight="1" x14ac:dyDescent="0.25">
      <c r="A40" s="775" t="s">
        <v>848</v>
      </c>
      <c r="B40" s="776">
        <f>C40+D40+E40+F40+G40</f>
        <v>3673303.52</v>
      </c>
      <c r="C40" s="777">
        <f>C14*30.2%+0.01</f>
        <v>1752251.56</v>
      </c>
      <c r="D40" s="615"/>
      <c r="E40" s="743">
        <f>проверка!M11+проверка!M13-D39</f>
        <v>1921051.96</v>
      </c>
      <c r="F40" s="743">
        <f>G14*30.2%</f>
        <v>0</v>
      </c>
      <c r="G40" s="743"/>
      <c r="H40" s="743">
        <f t="shared" si="2"/>
        <v>1921051.96</v>
      </c>
      <c r="I40" s="464">
        <f>H14*30.2%-H40</f>
        <v>532582.80000000005</v>
      </c>
    </row>
    <row r="41" spans="1:11" ht="13.7" customHeight="1" x14ac:dyDescent="0.25">
      <c r="A41" s="121" t="s">
        <v>880</v>
      </c>
      <c r="B41" s="692"/>
      <c r="C41" s="691"/>
      <c r="D41" s="464"/>
      <c r="E41" s="687">
        <f>'211,213 от 29.06.2012 г.'!C41</f>
        <v>1517744.25</v>
      </c>
      <c r="F41" s="687"/>
      <c r="G41" s="687"/>
      <c r="H41" s="687">
        <f t="shared" si="2"/>
        <v>1517744.25</v>
      </c>
      <c r="I41" s="464"/>
    </row>
    <row r="42" spans="1:11" ht="13.7" customHeight="1" x14ac:dyDescent="0.25">
      <c r="A42" s="121" t="s">
        <v>882</v>
      </c>
      <c r="B42" s="692"/>
      <c r="C42" s="691"/>
      <c r="D42" s="464"/>
      <c r="E42" s="687">
        <f>'211,213 от 29.06.2012 г.'!C42</f>
        <v>190071.55</v>
      </c>
      <c r="F42" s="687"/>
      <c r="G42" s="687"/>
      <c r="H42" s="687">
        <f t="shared" si="2"/>
        <v>190071.55</v>
      </c>
      <c r="I42" s="464"/>
    </row>
    <row r="43" spans="1:11" ht="13.7" customHeight="1" x14ac:dyDescent="0.25">
      <c r="A43" s="121" t="s">
        <v>881</v>
      </c>
      <c r="B43" s="692"/>
      <c r="C43" s="691"/>
      <c r="D43" s="464"/>
      <c r="E43" s="687">
        <f>'211,213 от 29.06.2012 г.'!C43</f>
        <v>213236.16</v>
      </c>
      <c r="F43" s="687"/>
      <c r="G43" s="687"/>
      <c r="H43" s="687">
        <f t="shared" si="2"/>
        <v>213236.16</v>
      </c>
      <c r="I43" s="464"/>
    </row>
    <row r="44" spans="1:11" ht="22.5" customHeight="1" x14ac:dyDescent="0.25">
      <c r="A44" s="138" t="s">
        <v>505</v>
      </c>
      <c r="B44" s="142">
        <f>B34+B35+B39+B40</f>
        <v>8295006.4699999997</v>
      </c>
      <c r="C44" s="142">
        <f>C34+C35+C39+C40</f>
        <v>2537196.35</v>
      </c>
      <c r="D44" s="126">
        <f t="shared" ref="D44:I44" si="3">D34+D35+D39+D40</f>
        <v>2642102.5699999998</v>
      </c>
      <c r="E44" s="126">
        <f t="shared" si="3"/>
        <v>1921051.96</v>
      </c>
      <c r="F44" s="126">
        <f t="shared" si="3"/>
        <v>721085.4</v>
      </c>
      <c r="G44" s="126">
        <f t="shared" si="3"/>
        <v>473570.19</v>
      </c>
      <c r="H44" s="126">
        <f t="shared" si="3"/>
        <v>5757810.1200000001</v>
      </c>
      <c r="I44" s="126">
        <f t="shared" si="3"/>
        <v>671713.71</v>
      </c>
      <c r="J44" s="618">
        <f>H44/12</f>
        <v>479817.51</v>
      </c>
      <c r="K44" s="618">
        <f>J44*6</f>
        <v>2878905.06</v>
      </c>
    </row>
    <row r="45" spans="1:11" x14ac:dyDescent="0.25">
      <c r="H45" s="616"/>
    </row>
    <row r="47" spans="1:11" x14ac:dyDescent="0.25">
      <c r="A47" s="64" t="s">
        <v>824</v>
      </c>
      <c r="B47" s="64"/>
      <c r="C47" s="64"/>
      <c r="D47" s="64"/>
      <c r="E47" s="64"/>
      <c r="F47" s="64"/>
      <c r="G47" s="64"/>
      <c r="H47" s="509" t="s">
        <v>825</v>
      </c>
    </row>
    <row r="48" spans="1:11" x14ac:dyDescent="0.25">
      <c r="A48" s="68"/>
      <c r="B48" s="68"/>
      <c r="C48" s="68"/>
      <c r="D48" s="68"/>
      <c r="E48" s="68"/>
      <c r="F48" s="68"/>
      <c r="G48" s="68"/>
      <c r="H48" s="68"/>
    </row>
    <row r="49" spans="1:8" x14ac:dyDescent="0.25">
      <c r="A49" s="64" t="s">
        <v>99</v>
      </c>
      <c r="B49" s="64"/>
      <c r="C49" s="64"/>
      <c r="D49" s="64"/>
      <c r="E49" s="64"/>
      <c r="F49" s="64"/>
      <c r="G49" s="64"/>
      <c r="H49" s="64" t="s">
        <v>897</v>
      </c>
    </row>
  </sheetData>
  <mergeCells count="21">
    <mergeCell ref="Z1:Z2"/>
    <mergeCell ref="A5:A7"/>
    <mergeCell ref="X1:Y1"/>
    <mergeCell ref="W1:W2"/>
    <mergeCell ref="V1:V2"/>
    <mergeCell ref="T1:T2"/>
    <mergeCell ref="U1:U2"/>
    <mergeCell ref="S1:S2"/>
    <mergeCell ref="A29:I29"/>
    <mergeCell ref="C6:C7"/>
    <mergeCell ref="R1:R2"/>
    <mergeCell ref="C5:H5"/>
    <mergeCell ref="A3:I3"/>
    <mergeCell ref="D6:I6"/>
    <mergeCell ref="B5:B7"/>
    <mergeCell ref="Q1:Q2"/>
    <mergeCell ref="A31:A33"/>
    <mergeCell ref="B31:B33"/>
    <mergeCell ref="C31:H31"/>
    <mergeCell ref="C32:C33"/>
    <mergeCell ref="D32:I32"/>
  </mergeCells>
  <phoneticPr fontId="17" type="noConversion"/>
  <pageMargins left="0" right="0" top="0.74803149606299213" bottom="0.74803149606299213" header="0.31496062992125984" footer="0.31496062992125984"/>
  <pageSetup paperSize="9" scale="85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9"/>
  <sheetViews>
    <sheetView topLeftCell="A41" workbookViewId="0">
      <selection activeCell="A29" sqref="A29:H49"/>
    </sheetView>
  </sheetViews>
  <sheetFormatPr defaultRowHeight="15" x14ac:dyDescent="0.25"/>
  <cols>
    <col min="1" max="1" width="19.85546875" style="3" customWidth="1"/>
    <col min="2" max="2" width="9.42578125" style="3" customWidth="1"/>
    <col min="3" max="3" width="10.42578125" style="3" customWidth="1"/>
    <col min="4" max="4" width="9.7109375" style="3" customWidth="1"/>
    <col min="5" max="5" width="9.5703125" style="3" customWidth="1"/>
    <col min="6" max="6" width="11.28515625" style="3" customWidth="1"/>
    <col min="7" max="7" width="10.85546875" style="3" customWidth="1"/>
    <col min="8" max="8" width="10.28515625" style="3" customWidth="1"/>
    <col min="10" max="10" width="11.42578125" bestFit="1" customWidth="1"/>
    <col min="16" max="16" width="8.28515625" style="3" customWidth="1"/>
    <col min="17" max="17" width="10.42578125" style="3" customWidth="1"/>
    <col min="18" max="18" width="13.7109375" style="3" customWidth="1"/>
    <col min="19" max="21" width="11.28515625" style="3" customWidth="1"/>
    <col min="22" max="22" width="6.42578125" style="3" customWidth="1"/>
    <col min="23" max="23" width="12.7109375" style="3" customWidth="1"/>
    <col min="24" max="24" width="13.5703125" style="3" customWidth="1"/>
    <col min="25" max="25" width="13.7109375" style="3" customWidth="1"/>
    <col min="26" max="26" width="9" style="3" customWidth="1"/>
  </cols>
  <sheetData>
    <row r="1" spans="1:26" x14ac:dyDescent="0.25">
      <c r="P1" s="871" t="s">
        <v>500</v>
      </c>
      <c r="Q1" s="870" t="s">
        <v>870</v>
      </c>
      <c r="R1" s="865" t="s">
        <v>573</v>
      </c>
      <c r="S1" s="866">
        <v>0.05</v>
      </c>
      <c r="T1" s="866">
        <v>0.08</v>
      </c>
      <c r="U1" s="866" t="s">
        <v>482</v>
      </c>
      <c r="V1" s="865" t="s">
        <v>499</v>
      </c>
      <c r="W1" s="865"/>
      <c r="X1" s="862" t="s">
        <v>854</v>
      </c>
    </row>
    <row r="2" spans="1:26" x14ac:dyDescent="0.25">
      <c r="P2" s="871"/>
      <c r="Q2" s="870"/>
      <c r="R2" s="865"/>
      <c r="S2" s="866"/>
      <c r="T2" s="866"/>
      <c r="U2" s="866"/>
      <c r="V2" s="607" t="s">
        <v>858</v>
      </c>
      <c r="W2" s="608" t="s">
        <v>671</v>
      </c>
      <c r="X2" s="863"/>
    </row>
    <row r="3" spans="1:26" ht="27.75" customHeight="1" x14ac:dyDescent="0.25">
      <c r="A3" s="861" t="s">
        <v>501</v>
      </c>
      <c r="B3" s="861"/>
      <c r="C3" s="861"/>
      <c r="D3" s="861"/>
      <c r="E3" s="861"/>
      <c r="F3" s="861"/>
      <c r="G3" s="861"/>
      <c r="H3" s="861"/>
      <c r="P3" s="664">
        <v>15</v>
      </c>
      <c r="Q3" s="508">
        <v>5403860.4000000004</v>
      </c>
      <c r="R3" s="683">
        <f>164362.79+1146714.56</f>
        <v>1311077.3500000001</v>
      </c>
      <c r="S3" s="683"/>
      <c r="T3" s="683"/>
      <c r="U3" s="683">
        <v>63602.06</v>
      </c>
      <c r="V3" s="684">
        <v>0.31</v>
      </c>
      <c r="W3" s="685">
        <f>Q3*V3+0.01</f>
        <v>1675196.73</v>
      </c>
      <c r="X3" s="686">
        <f>R3+S3+T3+U3+W3</f>
        <v>3049876.14</v>
      </c>
    </row>
    <row r="4" spans="1:26" x14ac:dyDescent="0.25">
      <c r="A4" s="64"/>
      <c r="B4" s="64"/>
      <c r="C4" s="64"/>
      <c r="D4" s="64"/>
      <c r="E4" s="64"/>
      <c r="F4" s="64"/>
      <c r="G4" s="172"/>
      <c r="H4" s="64"/>
      <c r="P4" s="664">
        <v>16</v>
      </c>
      <c r="Q4" s="208">
        <v>3682850.63</v>
      </c>
      <c r="R4" s="683">
        <f>961760</f>
        <v>961760</v>
      </c>
      <c r="S4" s="683"/>
      <c r="T4" s="683">
        <f>Q4*8%+0.01</f>
        <v>294628.06</v>
      </c>
      <c r="U4" s="683"/>
      <c r="V4" s="684">
        <v>0.27839999999999998</v>
      </c>
      <c r="W4" s="685">
        <f>Q4*V4</f>
        <v>1025305.62</v>
      </c>
      <c r="X4" s="686">
        <f>R4+S4+T4+U4+W4</f>
        <v>2281693.6800000002</v>
      </c>
    </row>
    <row r="5" spans="1:26" ht="27.75" customHeight="1" x14ac:dyDescent="0.25">
      <c r="A5" s="864" t="s">
        <v>826</v>
      </c>
      <c r="B5" s="867" t="s">
        <v>899</v>
      </c>
      <c r="C5" s="868"/>
      <c r="D5" s="868"/>
      <c r="E5" s="868"/>
      <c r="F5" s="868"/>
      <c r="G5" s="869"/>
      <c r="H5" s="872" t="s">
        <v>820</v>
      </c>
      <c r="P5" s="664">
        <v>10</v>
      </c>
      <c r="Q5" s="508">
        <v>1200000</v>
      </c>
      <c r="R5" s="683">
        <f>288036.8</f>
        <v>288036.8</v>
      </c>
      <c r="S5" s="683">
        <f>Q5*5%</f>
        <v>60000</v>
      </c>
      <c r="T5" s="683"/>
      <c r="U5" s="683">
        <f>183840</f>
        <v>183840</v>
      </c>
      <c r="V5" s="684">
        <v>0.25990000000000002</v>
      </c>
      <c r="W5" s="685">
        <f>Q5*V5</f>
        <v>311880</v>
      </c>
      <c r="X5" s="686">
        <f>R5+S5+T5+U5+W5</f>
        <v>843756.8</v>
      </c>
    </row>
    <row r="6" spans="1:26" ht="38.25" x14ac:dyDescent="0.25">
      <c r="A6" s="864"/>
      <c r="B6" s="867" t="s">
        <v>602</v>
      </c>
      <c r="C6" s="868"/>
      <c r="D6" s="868"/>
      <c r="E6" s="868"/>
      <c r="F6" s="869"/>
      <c r="G6" s="630" t="s">
        <v>601</v>
      </c>
      <c r="H6" s="873"/>
      <c r="P6" s="664"/>
      <c r="Q6" s="508"/>
      <c r="R6" s="683"/>
      <c r="S6" s="683"/>
      <c r="T6" s="683"/>
      <c r="U6" s="683"/>
      <c r="V6" s="684"/>
      <c r="W6" s="685"/>
      <c r="X6" s="686"/>
    </row>
    <row r="7" spans="1:26" x14ac:dyDescent="0.25">
      <c r="A7" s="864"/>
      <c r="B7" s="583">
        <v>401101</v>
      </c>
      <c r="C7" s="583">
        <v>401102</v>
      </c>
      <c r="D7" s="583">
        <v>401201</v>
      </c>
      <c r="E7" s="583">
        <v>401202</v>
      </c>
      <c r="F7" s="583" t="s">
        <v>854</v>
      </c>
      <c r="G7" s="662"/>
      <c r="H7" s="874"/>
      <c r="P7" s="664">
        <v>5</v>
      </c>
      <c r="Q7" s="508">
        <v>1482854</v>
      </c>
      <c r="R7" s="683">
        <f>79401.42</f>
        <v>79401.42</v>
      </c>
      <c r="S7" s="683">
        <f>Q7*5%</f>
        <v>74142.7</v>
      </c>
      <c r="T7" s="683"/>
      <c r="U7" s="683">
        <f>125760+17516.8</f>
        <v>143276.79999999999</v>
      </c>
      <c r="V7" s="684">
        <v>0.217</v>
      </c>
      <c r="W7" s="685">
        <f>Q7*V7</f>
        <v>321779.32</v>
      </c>
      <c r="X7" s="686">
        <f>R7+S7+T7+U7+W7</f>
        <v>618600.24</v>
      </c>
    </row>
    <row r="8" spans="1:26" ht="54" customHeight="1" x14ac:dyDescent="0.25">
      <c r="A8" s="121" t="s">
        <v>60</v>
      </c>
      <c r="B8" s="208"/>
      <c r="C8" s="208"/>
      <c r="D8" s="687">
        <f>'расчет з.п.повышенного уровня'!T11</f>
        <v>2387700</v>
      </c>
      <c r="E8" s="687"/>
      <c r="F8" s="508">
        <f>B8+D8</f>
        <v>2387700</v>
      </c>
      <c r="G8" s="664"/>
      <c r="H8" s="464">
        <f>D8+G8</f>
        <v>2387700</v>
      </c>
      <c r="P8" s="664">
        <v>14</v>
      </c>
      <c r="Q8" s="208">
        <v>109919.22</v>
      </c>
      <c r="R8" s="683"/>
      <c r="S8" s="683">
        <f>Q8*5%+0.01</f>
        <v>5495.97</v>
      </c>
      <c r="T8" s="683"/>
      <c r="U8" s="683">
        <v>36833.919999999998</v>
      </c>
      <c r="V8" s="684">
        <v>0.14680000000000001</v>
      </c>
      <c r="W8" s="685">
        <f>Q8*V8</f>
        <v>16136.14</v>
      </c>
      <c r="X8" s="686">
        <f>R8+S8+T8+U8+W8</f>
        <v>58466.03</v>
      </c>
    </row>
    <row r="9" spans="1:26" ht="51.75" customHeight="1" x14ac:dyDescent="0.25">
      <c r="A9" s="121" t="s">
        <v>679</v>
      </c>
      <c r="B9" s="208"/>
      <c r="C9" s="208"/>
      <c r="D9" s="208"/>
      <c r="E9" s="687">
        <f>'расчет з.п.повышенного уровня'!T21+21163.6</f>
        <v>2028811.6</v>
      </c>
      <c r="F9" s="508">
        <f>B9+E9</f>
        <v>2028811.6</v>
      </c>
      <c r="G9" s="664"/>
      <c r="H9" s="464">
        <f>E9+G9</f>
        <v>2028811.6</v>
      </c>
      <c r="I9" s="143">
        <f>'расчет з.п.повышенного уров (2)'!T45</f>
        <v>2007648</v>
      </c>
      <c r="P9" s="664">
        <v>17</v>
      </c>
      <c r="Q9" s="508">
        <v>7000</v>
      </c>
      <c r="R9" s="683"/>
      <c r="S9" s="683">
        <f>Q9*5%</f>
        <v>350</v>
      </c>
      <c r="T9" s="683"/>
      <c r="U9" s="683"/>
      <c r="V9" s="684">
        <v>0.29099999999999998</v>
      </c>
      <c r="W9" s="685">
        <f>Q9*V9</f>
        <v>2037</v>
      </c>
      <c r="X9" s="686">
        <f>R9+S9+T9+U9+W9</f>
        <v>2387</v>
      </c>
    </row>
    <row r="10" spans="1:26" ht="15.75" customHeight="1" x14ac:dyDescent="0.25">
      <c r="A10" s="121" t="s">
        <v>880</v>
      </c>
      <c r="B10" s="208"/>
      <c r="C10" s="208"/>
      <c r="D10" s="208"/>
      <c r="E10" s="687">
        <f>E9-E11-E12</f>
        <v>1694947.6</v>
      </c>
      <c r="F10" s="508">
        <f>B10+E10</f>
        <v>1694947.6</v>
      </c>
      <c r="G10" s="664"/>
      <c r="H10" s="464"/>
      <c r="P10" s="664"/>
      <c r="Q10" s="508"/>
      <c r="R10" s="683"/>
      <c r="S10" s="683"/>
      <c r="T10" s="683"/>
      <c r="U10" s="683"/>
      <c r="V10" s="684"/>
      <c r="W10" s="685"/>
      <c r="X10" s="686"/>
    </row>
    <row r="11" spans="1:26" ht="17.25" customHeight="1" x14ac:dyDescent="0.25">
      <c r="A11" s="121" t="s">
        <v>882</v>
      </c>
      <c r="B11" s="208"/>
      <c r="C11" s="208"/>
      <c r="D11" s="208"/>
      <c r="E11" s="687">
        <f>'расчет з.п.повышенного уров (2)'!T49</f>
        <v>157344</v>
      </c>
      <c r="F11" s="508">
        <f>B11+E11</f>
        <v>157344</v>
      </c>
      <c r="G11" s="664"/>
      <c r="H11" s="464"/>
      <c r="P11" s="664"/>
      <c r="Q11" s="508"/>
      <c r="R11" s="683"/>
      <c r="S11" s="683"/>
      <c r="T11" s="683"/>
      <c r="U11" s="683"/>
      <c r="V11" s="684"/>
      <c r="W11" s="685"/>
      <c r="X11" s="686"/>
    </row>
    <row r="12" spans="1:26" ht="18" customHeight="1" x14ac:dyDescent="0.25">
      <c r="A12" s="121" t="s">
        <v>881</v>
      </c>
      <c r="B12" s="208"/>
      <c r="C12" s="208"/>
      <c r="D12" s="208"/>
      <c r="E12" s="687">
        <f>'расчет з.п.повышенного уров (2)'!T48</f>
        <v>176520</v>
      </c>
      <c r="F12" s="508">
        <f>B12+E12</f>
        <v>176520</v>
      </c>
      <c r="G12" s="664"/>
      <c r="H12" s="464"/>
      <c r="P12" s="664"/>
      <c r="Q12" s="508"/>
      <c r="R12" s="683"/>
      <c r="S12" s="683"/>
      <c r="T12" s="683"/>
      <c r="U12" s="683"/>
      <c r="V12" s="684"/>
      <c r="W12" s="685"/>
      <c r="X12" s="686"/>
    </row>
    <row r="13" spans="1:26" ht="37.5" customHeight="1" x14ac:dyDescent="0.25">
      <c r="A13" s="416" t="s">
        <v>59</v>
      </c>
      <c r="B13" s="157">
        <f>'расчет з.п.базового уровня'!S11</f>
        <v>8748684</v>
      </c>
      <c r="C13" s="157"/>
      <c r="D13" s="208"/>
      <c r="E13" s="208"/>
      <c r="F13" s="508">
        <f>B13+D13</f>
        <v>8748684</v>
      </c>
      <c r="G13" s="464">
        <f>R19</f>
        <v>2640275.5699999998</v>
      </c>
      <c r="H13" s="464">
        <f>B13+G13</f>
        <v>11388959.57</v>
      </c>
      <c r="P13" s="664">
        <v>11</v>
      </c>
      <c r="Q13" s="508">
        <v>709384.02</v>
      </c>
      <c r="R13" s="683"/>
      <c r="S13" s="683"/>
      <c r="T13" s="683"/>
      <c r="U13" s="683">
        <v>502953.27</v>
      </c>
      <c r="V13" s="684">
        <v>0.29099999999999998</v>
      </c>
      <c r="W13" s="685">
        <f>Q13*V13</f>
        <v>206430.75</v>
      </c>
      <c r="X13" s="686">
        <f>R13+S13+T13+U13+W13</f>
        <v>709384.02</v>
      </c>
    </row>
    <row r="14" spans="1:26" ht="50.25" customHeight="1" x14ac:dyDescent="0.25">
      <c r="A14" s="121" t="s">
        <v>679</v>
      </c>
      <c r="C14" s="743">
        <f>'расчет з.п.базового уровня'!S21+84654.4</f>
        <v>8124618.4000000004</v>
      </c>
      <c r="D14" s="744"/>
      <c r="E14" s="208"/>
      <c r="F14" s="508">
        <f>C14+D14</f>
        <v>8124618.4000000004</v>
      </c>
      <c r="G14" s="464">
        <f>S19+T19+U19+W19</f>
        <v>5845261.6799999997</v>
      </c>
      <c r="H14" s="464">
        <f>C14+G14</f>
        <v>13969880.08</v>
      </c>
      <c r="I14" s="143">
        <f>'расчет з.п.базового уровня (3)'!S45</f>
        <v>8039964</v>
      </c>
      <c r="P14" s="664">
        <v>8</v>
      </c>
      <c r="Q14" s="208">
        <v>863106.27</v>
      </c>
      <c r="R14" s="683"/>
      <c r="S14" s="683">
        <f>Q14*5%+0.01</f>
        <v>43155.32</v>
      </c>
      <c r="T14" s="683"/>
      <c r="U14" s="683"/>
      <c r="V14" s="684">
        <v>0.29099999999999998</v>
      </c>
      <c r="W14" s="685">
        <f>Q14*V14</f>
        <v>251163.92</v>
      </c>
      <c r="X14" s="686">
        <f>R14+S14+T14+U14+W14</f>
        <v>294319.24</v>
      </c>
      <c r="Y14" s="3">
        <f>123855.75+127308.17</f>
        <v>251163.92</v>
      </c>
      <c r="Z14" s="688">
        <f>Y14-W14</f>
        <v>0</v>
      </c>
    </row>
    <row r="15" spans="1:26" ht="15.75" customHeight="1" x14ac:dyDescent="0.25">
      <c r="A15" s="121" t="s">
        <v>880</v>
      </c>
      <c r="B15" s="208"/>
      <c r="C15" s="687">
        <f>C14-C16-C17</f>
        <v>6789162.4000000004</v>
      </c>
      <c r="D15" s="208"/>
      <c r="E15" s="208"/>
      <c r="F15" s="508">
        <f>C15+D15</f>
        <v>6789162.4000000004</v>
      </c>
      <c r="G15" s="464"/>
      <c r="H15" s="464"/>
      <c r="P15" s="664"/>
      <c r="Q15" s="208"/>
      <c r="R15" s="683"/>
      <c r="S15" s="683"/>
      <c r="T15" s="683"/>
      <c r="U15" s="683"/>
      <c r="V15" s="684"/>
      <c r="W15" s="685"/>
      <c r="X15" s="686"/>
      <c r="Z15" s="688"/>
    </row>
    <row r="16" spans="1:26" ht="16.5" customHeight="1" x14ac:dyDescent="0.25">
      <c r="A16" s="121" t="s">
        <v>882</v>
      </c>
      <c r="B16" s="208"/>
      <c r="C16" s="687">
        <f>'расчет з.п.базового уровня (3)'!S49</f>
        <v>629376</v>
      </c>
      <c r="D16" s="208"/>
      <c r="E16" s="208"/>
      <c r="F16" s="508">
        <f>C16+D16</f>
        <v>629376</v>
      </c>
      <c r="G16" s="464"/>
      <c r="H16" s="464"/>
      <c r="P16" s="664"/>
      <c r="Q16" s="208"/>
      <c r="R16" s="683"/>
      <c r="S16" s="683"/>
      <c r="T16" s="683"/>
      <c r="U16" s="683"/>
      <c r="V16" s="684"/>
      <c r="W16" s="685"/>
      <c r="X16" s="686"/>
      <c r="Z16" s="688"/>
    </row>
    <row r="17" spans="1:26" ht="17.25" customHeight="1" x14ac:dyDescent="0.25">
      <c r="A17" s="121" t="s">
        <v>881</v>
      </c>
      <c r="B17" s="208"/>
      <c r="C17" s="687">
        <f>'расчет з.п.базового уровня (3)'!S48</f>
        <v>706080</v>
      </c>
      <c r="D17" s="208"/>
      <c r="E17" s="208"/>
      <c r="F17" s="508">
        <f>C17+D17</f>
        <v>706080</v>
      </c>
      <c r="G17" s="464"/>
      <c r="H17" s="464"/>
      <c r="P17" s="664"/>
      <c r="Q17" s="208"/>
      <c r="R17" s="683"/>
      <c r="S17" s="683"/>
      <c r="T17" s="683"/>
      <c r="U17" s="683"/>
      <c r="V17" s="684"/>
      <c r="W17" s="685"/>
      <c r="X17" s="686"/>
      <c r="Z17" s="688"/>
    </row>
    <row r="18" spans="1:26" ht="18.75" customHeight="1" x14ac:dyDescent="0.25">
      <c r="A18" s="208"/>
      <c r="B18" s="142">
        <f>B8+B9+B13+B14</f>
        <v>8748684</v>
      </c>
      <c r="C18" s="142">
        <f>C8+C9+C13+C14</f>
        <v>8124618.4000000004</v>
      </c>
      <c r="D18" s="142">
        <f>D8+D9+D13+D14</f>
        <v>2387700</v>
      </c>
      <c r="E18" s="142">
        <f>E8+E9+E13+E14</f>
        <v>2028811.6</v>
      </c>
      <c r="F18" s="126">
        <f>D8+E9+B13+C14</f>
        <v>21289814</v>
      </c>
      <c r="G18" s="126">
        <f>G8+G9+G13+G14</f>
        <v>8485537.25</v>
      </c>
      <c r="H18" s="126">
        <f>H8+H9+H13+H14</f>
        <v>29775351.25</v>
      </c>
      <c r="J18" s="76">
        <f>21183996</f>
        <v>21183996</v>
      </c>
      <c r="P18" s="664">
        <v>13</v>
      </c>
      <c r="Q18" s="508">
        <v>1658151.85</v>
      </c>
      <c r="R18" s="683"/>
      <c r="S18" s="683">
        <f>S25+S26+S27</f>
        <v>83905</v>
      </c>
      <c r="T18" s="683"/>
      <c r="U18" s="683">
        <f>46092</f>
        <v>46092</v>
      </c>
      <c r="V18" s="684">
        <v>0.29099999999999998</v>
      </c>
      <c r="W18" s="685">
        <f>W25+W26+W27</f>
        <v>497057.1</v>
      </c>
      <c r="X18" s="686">
        <f>R18+S18+T18+U18+W18</f>
        <v>627054.1</v>
      </c>
      <c r="Y18" s="616">
        <f>754362.27-127308.17</f>
        <v>627054.1</v>
      </c>
      <c r="Z18" s="616">
        <f>Y18-X18</f>
        <v>0</v>
      </c>
    </row>
    <row r="19" spans="1:26" x14ac:dyDescent="0.25">
      <c r="J19">
        <f>105818</f>
        <v>105818</v>
      </c>
      <c r="P19" s="437">
        <v>211</v>
      </c>
      <c r="Q19" s="437"/>
      <c r="R19" s="441">
        <f>R3+R4+R5+R7+R8+R9+R13+R14+R18</f>
        <v>2640275.5699999998</v>
      </c>
      <c r="S19" s="441">
        <f>S3+S4+S5+S7+S8+S9+S13+S14+S18</f>
        <v>267048.99</v>
      </c>
      <c r="T19" s="441">
        <f>T3+T4+T5+T7+T8+T9+T13+T14+T18</f>
        <v>294628.06</v>
      </c>
      <c r="U19" s="441">
        <f>U3+U4+U5+U7+U8+U9+U13+U14+U18</f>
        <v>976598.05</v>
      </c>
      <c r="V19" s="441"/>
      <c r="W19" s="441">
        <f>W3+W4+W5+W7+W8+W9+W13+W14+W18</f>
        <v>4306986.58</v>
      </c>
      <c r="X19" s="441">
        <f>X3+X4+X5+X7+X8+X9+X13+X14+X18</f>
        <v>8485537.25</v>
      </c>
      <c r="Y19" s="616">
        <f>'[2]смета от 11.01.2012'!$C$40</f>
        <v>8228738.0499999998</v>
      </c>
      <c r="Z19" s="688">
        <f>X19-Y19</f>
        <v>256799.2</v>
      </c>
    </row>
    <row r="20" spans="1:26" x14ac:dyDescent="0.25">
      <c r="P20" s="437">
        <v>213</v>
      </c>
      <c r="Q20" s="437"/>
      <c r="R20" s="609">
        <f>R19*30.2%</f>
        <v>797363.22</v>
      </c>
      <c r="S20" s="609">
        <f>S19*30.2%</f>
        <v>80648.789999999994</v>
      </c>
      <c r="T20" s="609">
        <f>T19*30.2%</f>
        <v>88977.67</v>
      </c>
      <c r="U20" s="609">
        <f>U19*30.2%</f>
        <v>294932.61</v>
      </c>
      <c r="V20" s="609">
        <f>V19*30.2%</f>
        <v>0</v>
      </c>
      <c r="W20" s="609">
        <f>W19*30.2%+0.01</f>
        <v>1300709.96</v>
      </c>
      <c r="X20" s="441">
        <f>R20+S20+T20+U20+W20</f>
        <v>2562632.25</v>
      </c>
      <c r="Y20" s="616">
        <f>'[2]смета от 11.01.2012'!$C$42</f>
        <v>2485078.9</v>
      </c>
      <c r="Z20" s="688">
        <f>X20-Y20</f>
        <v>77553.350000000006</v>
      </c>
    </row>
    <row r="21" spans="1:26" x14ac:dyDescent="0.25">
      <c r="A21" s="64" t="s">
        <v>824</v>
      </c>
      <c r="B21" s="64"/>
      <c r="C21" s="64"/>
      <c r="D21" s="64"/>
      <c r="E21" s="64"/>
      <c r="F21" s="509" t="s">
        <v>825</v>
      </c>
      <c r="P21" s="208"/>
      <c r="Q21" s="208"/>
      <c r="R21" s="208"/>
      <c r="S21" s="208"/>
      <c r="T21" s="208"/>
      <c r="U21" s="208"/>
      <c r="V21" s="208"/>
      <c r="W21" s="208"/>
      <c r="X21" s="508"/>
    </row>
    <row r="22" spans="1:26" x14ac:dyDescent="0.25">
      <c r="A22" s="64"/>
      <c r="B22" s="64"/>
      <c r="C22" s="64"/>
      <c r="D22" s="64"/>
      <c r="E22" s="64"/>
      <c r="F22" s="509"/>
      <c r="P22" s="665"/>
      <c r="Q22" s="665"/>
      <c r="R22" s="665"/>
      <c r="S22" s="665"/>
      <c r="T22" s="665"/>
      <c r="U22" s="665"/>
      <c r="V22" s="665"/>
      <c r="W22" s="665"/>
      <c r="X22" s="689"/>
    </row>
    <row r="23" spans="1:26" x14ac:dyDescent="0.25">
      <c r="A23" s="68"/>
      <c r="B23" s="68"/>
      <c r="C23" s="68"/>
      <c r="D23" s="68"/>
      <c r="E23" s="68"/>
      <c r="F23" s="68"/>
      <c r="X23" s="616"/>
    </row>
    <row r="24" spans="1:26" x14ac:dyDescent="0.25">
      <c r="A24" s="64" t="s">
        <v>99</v>
      </c>
      <c r="B24" s="64"/>
      <c r="C24" s="64"/>
      <c r="D24" s="64"/>
      <c r="E24" s="64"/>
      <c r="F24" s="64" t="s">
        <v>897</v>
      </c>
      <c r="X24" s="688" t="e">
        <f>'[3]смета от 11.01.2012'!$C$19+'[3]смета от 11.01.2012'!$C$20-X19</f>
        <v>#REF!</v>
      </c>
    </row>
    <row r="25" spans="1:26" x14ac:dyDescent="0.25">
      <c r="S25" s="683">
        <f>435500*5%</f>
        <v>21775</v>
      </c>
      <c r="W25" s="616">
        <f>718600*29.1%</f>
        <v>209112.6</v>
      </c>
      <c r="X25" s="616" t="e">
        <f>'[3]смета от 11.01.2012'!$C$23+'[3]смета от 11.01.2012'!$C$24-X20</f>
        <v>#REF!</v>
      </c>
    </row>
    <row r="26" spans="1:26" x14ac:dyDescent="0.25">
      <c r="S26" s="683">
        <f>718600*5%</f>
        <v>35930</v>
      </c>
      <c r="W26" s="616">
        <f>465500*29.1%</f>
        <v>135460.5</v>
      </c>
    </row>
    <row r="27" spans="1:26" x14ac:dyDescent="0.25">
      <c r="S27" s="683">
        <f>524000*5%</f>
        <v>26200</v>
      </c>
      <c r="W27" s="616">
        <f>524000*29.1%</f>
        <v>152484</v>
      </c>
    </row>
    <row r="28" spans="1:26" x14ac:dyDescent="0.25">
      <c r="W28" s="616">
        <f>W18-W25-W26-W27</f>
        <v>0</v>
      </c>
    </row>
    <row r="29" spans="1:26" ht="44.25" customHeight="1" x14ac:dyDescent="0.25">
      <c r="A29" s="861" t="s">
        <v>502</v>
      </c>
      <c r="B29" s="861"/>
      <c r="C29" s="861"/>
      <c r="D29" s="861"/>
      <c r="E29" s="861"/>
      <c r="F29" s="861"/>
      <c r="G29" s="861"/>
      <c r="H29" s="861"/>
    </row>
    <row r="30" spans="1:26" x14ac:dyDescent="0.25">
      <c r="A30" s="64"/>
      <c r="B30" s="64"/>
      <c r="C30" s="64"/>
      <c r="D30" s="64"/>
      <c r="E30" s="64"/>
      <c r="F30" s="64"/>
      <c r="G30" s="172"/>
      <c r="H30" s="64"/>
    </row>
    <row r="31" spans="1:26" ht="35.25" customHeight="1" x14ac:dyDescent="0.25">
      <c r="A31" s="864" t="s">
        <v>826</v>
      </c>
      <c r="B31" s="867" t="s">
        <v>899</v>
      </c>
      <c r="C31" s="868"/>
      <c r="D31" s="868"/>
      <c r="E31" s="868"/>
      <c r="F31" s="868"/>
      <c r="G31" s="869"/>
      <c r="H31" s="872" t="s">
        <v>820</v>
      </c>
    </row>
    <row r="32" spans="1:26" ht="25.5" customHeight="1" x14ac:dyDescent="0.25">
      <c r="A32" s="864"/>
      <c r="B32" s="867" t="s">
        <v>602</v>
      </c>
      <c r="C32" s="868"/>
      <c r="D32" s="868"/>
      <c r="E32" s="868"/>
      <c r="F32" s="869"/>
      <c r="G32" s="630" t="s">
        <v>601</v>
      </c>
      <c r="H32" s="874"/>
    </row>
    <row r="33" spans="1:8" x14ac:dyDescent="0.25">
      <c r="A33" s="166"/>
      <c r="B33" s="583">
        <v>401101</v>
      </c>
      <c r="C33" s="583">
        <v>401102</v>
      </c>
      <c r="D33" s="583">
        <v>401201</v>
      </c>
      <c r="E33" s="583">
        <v>401202</v>
      </c>
      <c r="F33" s="583" t="s">
        <v>854</v>
      </c>
      <c r="G33" s="167"/>
      <c r="H33" s="108"/>
    </row>
    <row r="34" spans="1:8" ht="55.5" customHeight="1" x14ac:dyDescent="0.25">
      <c r="A34" s="121" t="s">
        <v>503</v>
      </c>
      <c r="B34" s="687">
        <f>B8*30.2%</f>
        <v>0</v>
      </c>
      <c r="C34" s="687">
        <f>C8*30.2%</f>
        <v>0</v>
      </c>
      <c r="D34" s="687">
        <f>D8*30.2%</f>
        <v>721085.4</v>
      </c>
      <c r="E34" s="687">
        <f>E8*30.2%</f>
        <v>0</v>
      </c>
      <c r="F34" s="687">
        <f t="shared" ref="F34:F43" si="0">B34+C34+D34+E34</f>
        <v>721085.4</v>
      </c>
      <c r="G34" s="687">
        <f>G8*30.2%</f>
        <v>0</v>
      </c>
      <c r="H34" s="464">
        <f>F34+G34</f>
        <v>721085.4</v>
      </c>
    </row>
    <row r="35" spans="1:8" ht="52.5" customHeight="1" x14ac:dyDescent="0.25">
      <c r="A35" s="121" t="s">
        <v>679</v>
      </c>
      <c r="B35" s="687">
        <f>B9*30.2%</f>
        <v>0</v>
      </c>
      <c r="C35" s="687">
        <f>C9*30.2%</f>
        <v>0</v>
      </c>
      <c r="D35" s="687"/>
      <c r="E35" s="687">
        <f>проверка!N14-'211,213 от 29.06.2012 г.'!D34</f>
        <v>473570.19</v>
      </c>
      <c r="F35" s="687">
        <f t="shared" si="0"/>
        <v>473570.19</v>
      </c>
      <c r="G35" s="687">
        <f>G9*30.2%</f>
        <v>0</v>
      </c>
      <c r="H35" s="464">
        <f>F35+G35</f>
        <v>473570.19</v>
      </c>
    </row>
    <row r="36" spans="1:8" ht="18.75" customHeight="1" x14ac:dyDescent="0.25">
      <c r="A36" s="121" t="s">
        <v>880</v>
      </c>
      <c r="B36" s="687"/>
      <c r="C36" s="687"/>
      <c r="D36" s="687"/>
      <c r="E36" s="687">
        <f>E35-E37-E38</f>
        <v>372743.26</v>
      </c>
      <c r="F36" s="687">
        <f t="shared" si="0"/>
        <v>372743.26</v>
      </c>
      <c r="G36" s="687"/>
      <c r="H36" s="464"/>
    </row>
    <row r="37" spans="1:8" ht="21" customHeight="1" x14ac:dyDescent="0.25">
      <c r="A37" s="121" t="s">
        <v>882</v>
      </c>
      <c r="B37" s="687"/>
      <c r="C37" s="687"/>
      <c r="D37" s="687"/>
      <c r="E37" s="687">
        <f>E11*30.2%</f>
        <v>47517.89</v>
      </c>
      <c r="F37" s="687">
        <f t="shared" si="0"/>
        <v>47517.89</v>
      </c>
      <c r="G37" s="687"/>
      <c r="H37" s="464"/>
    </row>
    <row r="38" spans="1:8" ht="16.5" customHeight="1" x14ac:dyDescent="0.25">
      <c r="A38" s="121" t="s">
        <v>881</v>
      </c>
      <c r="B38" s="687"/>
      <c r="C38" s="687"/>
      <c r="D38" s="687"/>
      <c r="E38" s="687">
        <f>E12*30.2%</f>
        <v>53309.04</v>
      </c>
      <c r="F38" s="687">
        <f t="shared" si="0"/>
        <v>53309.04</v>
      </c>
      <c r="G38" s="687"/>
      <c r="H38" s="464"/>
    </row>
    <row r="39" spans="1:8" ht="36.75" customHeight="1" x14ac:dyDescent="0.25">
      <c r="A39" s="416" t="s">
        <v>504</v>
      </c>
      <c r="B39" s="157">
        <f>B13*30.2%</f>
        <v>2642102.5699999998</v>
      </c>
      <c r="C39" s="157">
        <f>C13*30.2%</f>
        <v>0</v>
      </c>
      <c r="D39" s="157">
        <f>D13*30.2%</f>
        <v>0</v>
      </c>
      <c r="E39" s="157">
        <f>E13*30.2%</f>
        <v>0</v>
      </c>
      <c r="F39" s="687">
        <f t="shared" si="0"/>
        <v>2642102.5699999998</v>
      </c>
      <c r="G39" s="157">
        <f>G13*30.2%</f>
        <v>797363.22</v>
      </c>
      <c r="H39" s="464">
        <f>F39+G39</f>
        <v>3439465.79</v>
      </c>
    </row>
    <row r="40" spans="1:8" ht="51" customHeight="1" x14ac:dyDescent="0.25">
      <c r="A40" s="121" t="s">
        <v>679</v>
      </c>
      <c r="B40" s="464"/>
      <c r="C40" s="687">
        <f>проверка!M11+проверка!M13-B39</f>
        <v>1921051.96</v>
      </c>
      <c r="D40" s="687">
        <f>E14*30.2%</f>
        <v>0</v>
      </c>
      <c r="E40" s="687"/>
      <c r="F40" s="687">
        <f t="shared" si="0"/>
        <v>1921051.96</v>
      </c>
      <c r="G40" s="687">
        <f>G14*30.2%</f>
        <v>1765269.03</v>
      </c>
      <c r="H40" s="464">
        <f>F40+G40</f>
        <v>3686320.99</v>
      </c>
    </row>
    <row r="41" spans="1:8" ht="18.75" customHeight="1" x14ac:dyDescent="0.25">
      <c r="A41" s="121" t="s">
        <v>880</v>
      </c>
      <c r="B41" s="464"/>
      <c r="C41" s="687">
        <f>C40-C42-C43</f>
        <v>1517744.25</v>
      </c>
      <c r="D41" s="687"/>
      <c r="E41" s="687"/>
      <c r="F41" s="687">
        <f t="shared" si="0"/>
        <v>1517744.25</v>
      </c>
      <c r="G41" s="687"/>
      <c r="H41" s="464"/>
    </row>
    <row r="42" spans="1:8" ht="17.25" customHeight="1" x14ac:dyDescent="0.25">
      <c r="A42" s="121" t="s">
        <v>882</v>
      </c>
      <c r="B42" s="464"/>
      <c r="C42" s="687">
        <f>C16*30.2%</f>
        <v>190071.55</v>
      </c>
      <c r="D42" s="687"/>
      <c r="E42" s="687"/>
      <c r="F42" s="687">
        <f t="shared" si="0"/>
        <v>190071.55</v>
      </c>
      <c r="G42" s="687"/>
      <c r="H42" s="464"/>
    </row>
    <row r="43" spans="1:8" ht="18" customHeight="1" x14ac:dyDescent="0.25">
      <c r="A43" s="121" t="s">
        <v>881</v>
      </c>
      <c r="B43" s="464"/>
      <c r="C43" s="687">
        <f>C17*30.2%</f>
        <v>213236.16</v>
      </c>
      <c r="D43" s="687"/>
      <c r="E43" s="687"/>
      <c r="F43" s="687">
        <f t="shared" si="0"/>
        <v>213236.16</v>
      </c>
      <c r="G43" s="687"/>
      <c r="H43" s="464"/>
    </row>
    <row r="44" spans="1:8" ht="22.5" customHeight="1" x14ac:dyDescent="0.25">
      <c r="A44" s="138" t="s">
        <v>505</v>
      </c>
      <c r="B44" s="126">
        <f t="shared" ref="B44:H44" si="1">B34+B35+B39+B40</f>
        <v>2642102.5699999998</v>
      </c>
      <c r="C44" s="126">
        <f t="shared" si="1"/>
        <v>1921051.96</v>
      </c>
      <c r="D44" s="126">
        <f t="shared" si="1"/>
        <v>721085.4</v>
      </c>
      <c r="E44" s="126">
        <f t="shared" si="1"/>
        <v>473570.19</v>
      </c>
      <c r="F44" s="126">
        <f t="shared" si="1"/>
        <v>5757810.1200000001</v>
      </c>
      <c r="G44" s="126">
        <f t="shared" si="1"/>
        <v>2562632.25</v>
      </c>
      <c r="H44" s="126">
        <f t="shared" si="1"/>
        <v>8320442.3700000001</v>
      </c>
    </row>
    <row r="45" spans="1:8" x14ac:dyDescent="0.25">
      <c r="F45" s="616"/>
    </row>
    <row r="47" spans="1:8" x14ac:dyDescent="0.25">
      <c r="A47" s="64" t="s">
        <v>824</v>
      </c>
      <c r="B47" s="64"/>
      <c r="C47" s="64"/>
      <c r="D47" s="64"/>
      <c r="E47" s="64"/>
      <c r="F47" s="509" t="s">
        <v>825</v>
      </c>
    </row>
    <row r="48" spans="1:8" x14ac:dyDescent="0.25">
      <c r="A48" s="68"/>
      <c r="B48" s="68"/>
      <c r="C48" s="68"/>
      <c r="D48" s="68"/>
      <c r="E48" s="68"/>
      <c r="F48" s="68"/>
    </row>
    <row r="49" spans="1:6" x14ac:dyDescent="0.25">
      <c r="A49" s="64" t="s">
        <v>99</v>
      </c>
      <c r="B49" s="64"/>
      <c r="C49" s="64"/>
      <c r="D49" s="64"/>
      <c r="E49" s="64"/>
      <c r="F49" s="64" t="s">
        <v>897</v>
      </c>
    </row>
  </sheetData>
  <mergeCells count="18">
    <mergeCell ref="B32:F32"/>
    <mergeCell ref="B6:F6"/>
    <mergeCell ref="B5:G5"/>
    <mergeCell ref="A3:H3"/>
    <mergeCell ref="B31:G31"/>
    <mergeCell ref="A29:H29"/>
    <mergeCell ref="X1:X2"/>
    <mergeCell ref="H5:H7"/>
    <mergeCell ref="A31:A32"/>
    <mergeCell ref="H31:H32"/>
    <mergeCell ref="A5:A7"/>
    <mergeCell ref="V1:W1"/>
    <mergeCell ref="U1:U2"/>
    <mergeCell ref="T1:T2"/>
    <mergeCell ref="S1:S2"/>
    <mergeCell ref="R1:R2"/>
    <mergeCell ref="Q1:Q2"/>
    <mergeCell ref="P1:P2"/>
  </mergeCells>
  <phoneticPr fontId="17" type="noConversion"/>
  <pageMargins left="0" right="0.11811023622047245" top="0.74803149606299213" bottom="0.74803149606299213" header="0.31496062992125984" footer="0.31496062992125984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9"/>
  <sheetViews>
    <sheetView topLeftCell="A10" workbookViewId="0">
      <selection activeCell="A29" sqref="A29:H50"/>
    </sheetView>
  </sheetViews>
  <sheetFormatPr defaultRowHeight="15" x14ac:dyDescent="0.25"/>
  <cols>
    <col min="1" max="1" width="19.85546875" style="3" customWidth="1"/>
    <col min="2" max="2" width="9.42578125" style="3" customWidth="1"/>
    <col min="3" max="3" width="10.42578125" style="3" customWidth="1"/>
    <col min="4" max="4" width="9.7109375" style="3" customWidth="1"/>
    <col min="5" max="5" width="9.5703125" style="3" customWidth="1"/>
    <col min="6" max="6" width="11.28515625" style="3" customWidth="1"/>
    <col min="7" max="7" width="10.85546875" style="3" customWidth="1"/>
    <col min="8" max="8" width="10.28515625" style="3" customWidth="1"/>
    <col min="16" max="16" width="8.28515625" style="3" customWidth="1"/>
    <col min="17" max="17" width="10.42578125" style="3" customWidth="1"/>
    <col min="18" max="18" width="13.7109375" style="3" customWidth="1"/>
    <col min="19" max="21" width="11.28515625" style="3" customWidth="1"/>
    <col min="22" max="22" width="6.42578125" style="3" customWidth="1"/>
    <col min="23" max="23" width="12.7109375" style="3" customWidth="1"/>
    <col min="24" max="24" width="13.5703125" style="3" customWidth="1"/>
    <col min="25" max="25" width="13.7109375" style="3" customWidth="1"/>
    <col min="26" max="26" width="9" style="3" customWidth="1"/>
  </cols>
  <sheetData>
    <row r="1" spans="1:26" x14ac:dyDescent="0.25">
      <c r="P1" s="871" t="s">
        <v>500</v>
      </c>
      <c r="Q1" s="870" t="s">
        <v>870</v>
      </c>
      <c r="R1" s="865" t="s">
        <v>573</v>
      </c>
      <c r="S1" s="866">
        <v>0.05</v>
      </c>
      <c r="T1" s="866">
        <v>0.08</v>
      </c>
      <c r="U1" s="866" t="s">
        <v>482</v>
      </c>
      <c r="V1" s="865" t="s">
        <v>499</v>
      </c>
      <c r="W1" s="865"/>
      <c r="X1" s="862" t="s">
        <v>854</v>
      </c>
    </row>
    <row r="2" spans="1:26" x14ac:dyDescent="0.25">
      <c r="P2" s="871"/>
      <c r="Q2" s="870"/>
      <c r="R2" s="865"/>
      <c r="S2" s="866"/>
      <c r="T2" s="866"/>
      <c r="U2" s="866"/>
      <c r="V2" s="607" t="s">
        <v>858</v>
      </c>
      <c r="W2" s="608" t="s">
        <v>671</v>
      </c>
      <c r="X2" s="863"/>
    </row>
    <row r="3" spans="1:26" ht="27.75" customHeight="1" x14ac:dyDescent="0.25">
      <c r="A3" s="861" t="s">
        <v>501</v>
      </c>
      <c r="B3" s="861"/>
      <c r="C3" s="861"/>
      <c r="D3" s="861"/>
      <c r="E3" s="861"/>
      <c r="F3" s="861"/>
      <c r="G3" s="861"/>
      <c r="H3" s="861"/>
      <c r="P3" s="664">
        <v>15</v>
      </c>
      <c r="Q3" s="508">
        <v>5403860.4000000004</v>
      </c>
      <c r="R3" s="683">
        <f>164362.79+1146714.56</f>
        <v>1311077.3500000001</v>
      </c>
      <c r="S3" s="683"/>
      <c r="T3" s="683"/>
      <c r="U3" s="683">
        <v>63602.06</v>
      </c>
      <c r="V3" s="684">
        <v>0.31</v>
      </c>
      <c r="W3" s="685">
        <f>Q3*V3+0.01</f>
        <v>1675196.73</v>
      </c>
      <c r="X3" s="686">
        <f>R3+S3+T3+U3+W3</f>
        <v>3049876.14</v>
      </c>
    </row>
    <row r="4" spans="1:26" x14ac:dyDescent="0.25">
      <c r="A4" s="64"/>
      <c r="B4" s="64"/>
      <c r="C4" s="64"/>
      <c r="D4" s="64"/>
      <c r="E4" s="64"/>
      <c r="F4" s="64"/>
      <c r="G4" s="172"/>
      <c r="H4" s="64"/>
      <c r="P4" s="664">
        <v>16</v>
      </c>
      <c r="Q4" s="208">
        <v>3682850.63</v>
      </c>
      <c r="R4" s="683">
        <f>961760</f>
        <v>961760</v>
      </c>
      <c r="S4" s="683"/>
      <c r="T4" s="683">
        <f>Q4*8%+0.01</f>
        <v>294628.06</v>
      </c>
      <c r="U4" s="683"/>
      <c r="V4" s="684">
        <v>0.27839999999999998</v>
      </c>
      <c r="W4" s="685">
        <f>Q4*V4</f>
        <v>1025305.62</v>
      </c>
      <c r="X4" s="686">
        <f>R4+S4+T4+U4+W4</f>
        <v>2281693.6800000002</v>
      </c>
    </row>
    <row r="5" spans="1:26" ht="27.75" customHeight="1" x14ac:dyDescent="0.25">
      <c r="A5" s="864" t="s">
        <v>826</v>
      </c>
      <c r="B5" s="867" t="s">
        <v>899</v>
      </c>
      <c r="C5" s="868"/>
      <c r="D5" s="868"/>
      <c r="E5" s="868"/>
      <c r="F5" s="868"/>
      <c r="G5" s="869"/>
      <c r="H5" s="872" t="s">
        <v>820</v>
      </c>
      <c r="P5" s="664">
        <v>10</v>
      </c>
      <c r="Q5" s="508">
        <v>1200000</v>
      </c>
      <c r="R5" s="683">
        <f>288036.8</f>
        <v>288036.8</v>
      </c>
      <c r="S5" s="683">
        <f>Q5*5%</f>
        <v>60000</v>
      </c>
      <c r="T5" s="683"/>
      <c r="U5" s="683">
        <f>183840</f>
        <v>183840</v>
      </c>
      <c r="V5" s="684">
        <v>0.25990000000000002</v>
      </c>
      <c r="W5" s="685">
        <f>Q5*V5</f>
        <v>311880</v>
      </c>
      <c r="X5" s="686">
        <f>R5+S5+T5+U5+W5</f>
        <v>843756.8</v>
      </c>
    </row>
    <row r="6" spans="1:26" ht="38.25" x14ac:dyDescent="0.25">
      <c r="A6" s="864"/>
      <c r="B6" s="867" t="s">
        <v>602</v>
      </c>
      <c r="C6" s="868"/>
      <c r="D6" s="868"/>
      <c r="E6" s="868"/>
      <c r="F6" s="869"/>
      <c r="G6" s="630" t="s">
        <v>601</v>
      </c>
      <c r="H6" s="873"/>
      <c r="P6" s="664"/>
      <c r="Q6" s="508"/>
      <c r="R6" s="683"/>
      <c r="S6" s="683"/>
      <c r="T6" s="683"/>
      <c r="U6" s="683"/>
      <c r="V6" s="684"/>
      <c r="W6" s="685"/>
      <c r="X6" s="686"/>
    </row>
    <row r="7" spans="1:26" x14ac:dyDescent="0.25">
      <c r="A7" s="864"/>
      <c r="B7" s="583">
        <v>401101</v>
      </c>
      <c r="C7" s="583">
        <v>401102</v>
      </c>
      <c r="D7" s="583">
        <v>401201</v>
      </c>
      <c r="E7" s="583">
        <v>401202</v>
      </c>
      <c r="F7" s="583" t="s">
        <v>854</v>
      </c>
      <c r="G7" s="662"/>
      <c r="H7" s="874"/>
      <c r="P7" s="664">
        <v>5</v>
      </c>
      <c r="Q7" s="508">
        <v>1482854</v>
      </c>
      <c r="R7" s="683">
        <f>79401.42</f>
        <v>79401.42</v>
      </c>
      <c r="S7" s="683">
        <f>Q7*5%</f>
        <v>74142.7</v>
      </c>
      <c r="T7" s="683"/>
      <c r="U7" s="683">
        <f>125760+17516.8</f>
        <v>143276.79999999999</v>
      </c>
      <c r="V7" s="684">
        <v>0.217</v>
      </c>
      <c r="W7" s="685">
        <f>Q7*V7</f>
        <v>321779.32</v>
      </c>
      <c r="X7" s="686">
        <f t="shared" ref="X7:X18" si="0">R7+S7+T7+U7+W7</f>
        <v>618600.24</v>
      </c>
    </row>
    <row r="8" spans="1:26" ht="54" customHeight="1" x14ac:dyDescent="0.25">
      <c r="A8" s="121" t="s">
        <v>60</v>
      </c>
      <c r="B8" s="208"/>
      <c r="C8" s="208"/>
      <c r="D8" s="687">
        <f>'расчет з.п.повышенного уровня'!T11</f>
        <v>2387700</v>
      </c>
      <c r="E8" s="687"/>
      <c r="F8" s="508">
        <f>B8+D8</f>
        <v>2387700</v>
      </c>
      <c r="G8" s="664"/>
      <c r="H8" s="464">
        <f>D8+G8</f>
        <v>2387700</v>
      </c>
      <c r="P8" s="664">
        <v>14</v>
      </c>
      <c r="Q8" s="208">
        <v>109919.22</v>
      </c>
      <c r="R8" s="683"/>
      <c r="S8" s="683">
        <f>Q8*5%+0.01</f>
        <v>5495.97</v>
      </c>
      <c r="T8" s="683"/>
      <c r="U8" s="683">
        <v>36833.919999999998</v>
      </c>
      <c r="V8" s="684">
        <v>0.14680000000000001</v>
      </c>
      <c r="W8" s="685">
        <f>Q8*V8</f>
        <v>16136.14</v>
      </c>
      <c r="X8" s="686">
        <f t="shared" si="0"/>
        <v>58466.03</v>
      </c>
    </row>
    <row r="9" spans="1:26" ht="51.75" customHeight="1" x14ac:dyDescent="0.25">
      <c r="A9" s="121" t="s">
        <v>679</v>
      </c>
      <c r="B9" s="208"/>
      <c r="C9" s="208"/>
      <c r="D9" s="208"/>
      <c r="E9" s="687">
        <f>'расчет з.п.повышенного уровня'!T21</f>
        <v>2007648</v>
      </c>
      <c r="F9" s="508">
        <f>B9+E9</f>
        <v>2007648</v>
      </c>
      <c r="G9" s="664"/>
      <c r="H9" s="464">
        <f>E9+G9</f>
        <v>2007648</v>
      </c>
      <c r="I9" s="143">
        <f>'расчет з.п.повышенного уров (2)'!T45</f>
        <v>2007648</v>
      </c>
      <c r="P9" s="664">
        <v>17</v>
      </c>
      <c r="Q9" s="508">
        <v>7000</v>
      </c>
      <c r="R9" s="683"/>
      <c r="S9" s="683">
        <f>Q9*5%</f>
        <v>350</v>
      </c>
      <c r="T9" s="683"/>
      <c r="U9" s="683"/>
      <c r="V9" s="684">
        <v>0.29099999999999998</v>
      </c>
      <c r="W9" s="685">
        <f>Q9*V9</f>
        <v>2037</v>
      </c>
      <c r="X9" s="686">
        <f t="shared" si="0"/>
        <v>2387</v>
      </c>
    </row>
    <row r="10" spans="1:26" ht="15.75" customHeight="1" x14ac:dyDescent="0.25">
      <c r="A10" s="121" t="s">
        <v>880</v>
      </c>
      <c r="B10" s="208"/>
      <c r="C10" s="208"/>
      <c r="D10" s="208"/>
      <c r="E10" s="687">
        <f>E9-E11-E12</f>
        <v>1673784</v>
      </c>
      <c r="F10" s="508">
        <f>B10+E10</f>
        <v>1673784</v>
      </c>
      <c r="G10" s="664"/>
      <c r="H10" s="464"/>
      <c r="P10" s="664"/>
      <c r="Q10" s="508"/>
      <c r="R10" s="683"/>
      <c r="S10" s="683"/>
      <c r="T10" s="683"/>
      <c r="U10" s="683"/>
      <c r="V10" s="684"/>
      <c r="W10" s="685"/>
      <c r="X10" s="686"/>
    </row>
    <row r="11" spans="1:26" ht="17.25" customHeight="1" x14ac:dyDescent="0.25">
      <c r="A11" s="121" t="s">
        <v>882</v>
      </c>
      <c r="B11" s="208"/>
      <c r="C11" s="208"/>
      <c r="D11" s="208"/>
      <c r="E11" s="687">
        <f>'расчет з.п.повышенного уров (2)'!T49</f>
        <v>157344</v>
      </c>
      <c r="F11" s="508">
        <f>B11+E11</f>
        <v>157344</v>
      </c>
      <c r="G11" s="664"/>
      <c r="H11" s="464"/>
      <c r="P11" s="664"/>
      <c r="Q11" s="508"/>
      <c r="R11" s="683"/>
      <c r="S11" s="683"/>
      <c r="T11" s="683"/>
      <c r="U11" s="683"/>
      <c r="V11" s="684"/>
      <c r="W11" s="685"/>
      <c r="X11" s="686"/>
    </row>
    <row r="12" spans="1:26" ht="18" customHeight="1" x14ac:dyDescent="0.25">
      <c r="A12" s="121" t="s">
        <v>881</v>
      </c>
      <c r="B12" s="208"/>
      <c r="C12" s="208"/>
      <c r="D12" s="208"/>
      <c r="E12" s="687">
        <f>'расчет з.п.повышенного уров (2)'!T48</f>
        <v>176520</v>
      </c>
      <c r="F12" s="508">
        <f>B12+E12</f>
        <v>176520</v>
      </c>
      <c r="G12" s="664"/>
      <c r="H12" s="464"/>
      <c r="P12" s="664"/>
      <c r="Q12" s="508"/>
      <c r="R12" s="683"/>
      <c r="S12" s="683"/>
      <c r="T12" s="683"/>
      <c r="U12" s="683"/>
      <c r="V12" s="684"/>
      <c r="W12" s="685"/>
      <c r="X12" s="686"/>
    </row>
    <row r="13" spans="1:26" ht="37.5" customHeight="1" x14ac:dyDescent="0.25">
      <c r="A13" s="416" t="s">
        <v>59</v>
      </c>
      <c r="B13" s="157">
        <f>'расчет з.п.базового уровня'!S11</f>
        <v>8748684</v>
      </c>
      <c r="C13" s="157"/>
      <c r="D13" s="208"/>
      <c r="E13" s="208"/>
      <c r="F13" s="508">
        <f>B13+D13</f>
        <v>8748684</v>
      </c>
      <c r="G13" s="464">
        <f>R19</f>
        <v>2640275.5699999998</v>
      </c>
      <c r="H13" s="464">
        <f>B13+G13</f>
        <v>11388959.57</v>
      </c>
      <c r="P13" s="664">
        <v>11</v>
      </c>
      <c r="Q13" s="508">
        <v>709384.02</v>
      </c>
      <c r="R13" s="683"/>
      <c r="S13" s="683"/>
      <c r="T13" s="683"/>
      <c r="U13" s="683">
        <v>502953.27</v>
      </c>
      <c r="V13" s="684">
        <v>0.29099999999999998</v>
      </c>
      <c r="W13" s="685">
        <f>Q13*V13</f>
        <v>206430.75</v>
      </c>
      <c r="X13" s="686">
        <f t="shared" si="0"/>
        <v>709384.02</v>
      </c>
    </row>
    <row r="14" spans="1:26" ht="50.25" customHeight="1" x14ac:dyDescent="0.25">
      <c r="A14" s="121" t="s">
        <v>679</v>
      </c>
      <c r="C14" s="743">
        <f>'расчет з.п.базового уровня'!S21</f>
        <v>8039964</v>
      </c>
      <c r="D14" s="744"/>
      <c r="E14" s="208"/>
      <c r="F14" s="508">
        <f>C14+D14</f>
        <v>8039964</v>
      </c>
      <c r="G14" s="464">
        <f>S19+T19+U19+W19</f>
        <v>5845261.6799999997</v>
      </c>
      <c r="H14" s="464">
        <f>C14+G14</f>
        <v>13885225.68</v>
      </c>
      <c r="I14" s="143">
        <f>'расчет з.п.базового уровня (3)'!S45</f>
        <v>8039964</v>
      </c>
      <c r="P14" s="664">
        <v>8</v>
      </c>
      <c r="Q14" s="208">
        <v>863106.27</v>
      </c>
      <c r="R14" s="683"/>
      <c r="S14" s="683">
        <f>Q14*5%+0.01</f>
        <v>43155.32</v>
      </c>
      <c r="T14" s="683"/>
      <c r="U14" s="683"/>
      <c r="V14" s="684">
        <v>0.29099999999999998</v>
      </c>
      <c r="W14" s="685">
        <f>Q14*V14</f>
        <v>251163.92</v>
      </c>
      <c r="X14" s="686">
        <f t="shared" si="0"/>
        <v>294319.24</v>
      </c>
      <c r="Y14" s="3">
        <f>123855.75+127308.17</f>
        <v>251163.92</v>
      </c>
      <c r="Z14" s="688">
        <f>Y14-W14</f>
        <v>0</v>
      </c>
    </row>
    <row r="15" spans="1:26" ht="15.75" customHeight="1" x14ac:dyDescent="0.25">
      <c r="A15" s="121" t="s">
        <v>880</v>
      </c>
      <c r="B15" s="208"/>
      <c r="C15" s="687">
        <f>C14-C16-C17</f>
        <v>6704508</v>
      </c>
      <c r="D15" s="208"/>
      <c r="E15" s="208"/>
      <c r="F15" s="508">
        <f>C15+D15</f>
        <v>6704508</v>
      </c>
      <c r="G15" s="464"/>
      <c r="H15" s="464"/>
      <c r="P15" s="664"/>
      <c r="Q15" s="208"/>
      <c r="R15" s="683"/>
      <c r="S15" s="683"/>
      <c r="T15" s="683"/>
      <c r="U15" s="683"/>
      <c r="V15" s="684"/>
      <c r="W15" s="685"/>
      <c r="X15" s="686"/>
      <c r="Z15" s="688"/>
    </row>
    <row r="16" spans="1:26" ht="16.5" customHeight="1" x14ac:dyDescent="0.25">
      <c r="A16" s="121" t="s">
        <v>882</v>
      </c>
      <c r="B16" s="208"/>
      <c r="C16" s="687">
        <f>'расчет з.п.базового уровня (3)'!S49</f>
        <v>629376</v>
      </c>
      <c r="D16" s="208"/>
      <c r="E16" s="208"/>
      <c r="F16" s="508">
        <f>C16+D16</f>
        <v>629376</v>
      </c>
      <c r="G16" s="464"/>
      <c r="H16" s="464"/>
      <c r="P16" s="664"/>
      <c r="Q16" s="208"/>
      <c r="R16" s="683"/>
      <c r="S16" s="683"/>
      <c r="T16" s="683"/>
      <c r="U16" s="683"/>
      <c r="V16" s="684"/>
      <c r="W16" s="685"/>
      <c r="X16" s="686"/>
      <c r="Z16" s="688"/>
    </row>
    <row r="17" spans="1:26" ht="17.25" customHeight="1" x14ac:dyDescent="0.25">
      <c r="A17" s="121" t="s">
        <v>881</v>
      </c>
      <c r="B17" s="208"/>
      <c r="C17" s="687">
        <f>'расчет з.п.базового уровня (3)'!S48</f>
        <v>706080</v>
      </c>
      <c r="D17" s="208"/>
      <c r="E17" s="208"/>
      <c r="F17" s="508">
        <f>C17+D17</f>
        <v>706080</v>
      </c>
      <c r="G17" s="464"/>
      <c r="H17" s="464"/>
      <c r="P17" s="664"/>
      <c r="Q17" s="208"/>
      <c r="R17" s="683"/>
      <c r="S17" s="683"/>
      <c r="T17" s="683"/>
      <c r="U17" s="683"/>
      <c r="V17" s="684"/>
      <c r="W17" s="685"/>
      <c r="X17" s="686"/>
      <c r="Z17" s="688"/>
    </row>
    <row r="18" spans="1:26" ht="18.75" customHeight="1" x14ac:dyDescent="0.25">
      <c r="A18" s="208"/>
      <c r="B18" s="142">
        <f>B8+B9+B13+B14</f>
        <v>8748684</v>
      </c>
      <c r="C18" s="142">
        <f>C8+C9+C13+C14</f>
        <v>8039964</v>
      </c>
      <c r="D18" s="142">
        <f>D8+D9+D13+D14</f>
        <v>2387700</v>
      </c>
      <c r="E18" s="142">
        <f>E8+E9+E13+E14</f>
        <v>2007648</v>
      </c>
      <c r="F18" s="126">
        <f>D8+E9+B13+C14</f>
        <v>21183996</v>
      </c>
      <c r="G18" s="126">
        <f>G8+G9+G13+G14</f>
        <v>8485537.25</v>
      </c>
      <c r="H18" s="126">
        <f>H8+H9+H13+H14</f>
        <v>29669533.25</v>
      </c>
      <c r="P18" s="664">
        <v>13</v>
      </c>
      <c r="Q18" s="508">
        <v>1658151.85</v>
      </c>
      <c r="R18" s="683"/>
      <c r="S18" s="683">
        <f>S25+S26+S27</f>
        <v>83905</v>
      </c>
      <c r="T18" s="683"/>
      <c r="U18" s="683">
        <f>46092</f>
        <v>46092</v>
      </c>
      <c r="V18" s="684">
        <v>0.29099999999999998</v>
      </c>
      <c r="W18" s="685">
        <f>W25+W26+W27</f>
        <v>497057.1</v>
      </c>
      <c r="X18" s="686">
        <f t="shared" si="0"/>
        <v>627054.1</v>
      </c>
      <c r="Y18" s="616">
        <f>754362.27-127308.17</f>
        <v>627054.1</v>
      </c>
      <c r="Z18" s="616">
        <f>Y18-X18</f>
        <v>0</v>
      </c>
    </row>
    <row r="19" spans="1:26" x14ac:dyDescent="0.25">
      <c r="P19" s="437">
        <v>211</v>
      </c>
      <c r="Q19" s="437"/>
      <c r="R19" s="441">
        <f>R3+R4+R5+R7+R8+R9+R13+R14+R18</f>
        <v>2640275.5699999998</v>
      </c>
      <c r="S19" s="441">
        <f>S3+S4+S5+S7+S8+S9+S13+S14+S18</f>
        <v>267048.99</v>
      </c>
      <c r="T19" s="441">
        <f>T3+T4+T5+T7+T8+T9+T13+T14+T18</f>
        <v>294628.06</v>
      </c>
      <c r="U19" s="441">
        <f>U3+U4+U5+U7+U8+U9+U13+U14+U18</f>
        <v>976598.05</v>
      </c>
      <c r="V19" s="441"/>
      <c r="W19" s="441">
        <f>W3+W4+W5+W7+W8+W9+W13+W14+W18</f>
        <v>4306986.58</v>
      </c>
      <c r="X19" s="441">
        <f>X3+X4+X5+X7+X8+X9+X13+X14+X18</f>
        <v>8485537.25</v>
      </c>
      <c r="Y19" s="616">
        <f>'[2]смета от 11.01.2012'!$C$40</f>
        <v>8228738.0499999998</v>
      </c>
      <c r="Z19" s="688">
        <f>X19-Y19</f>
        <v>256799.2</v>
      </c>
    </row>
    <row r="20" spans="1:26" x14ac:dyDescent="0.25">
      <c r="P20" s="437">
        <v>213</v>
      </c>
      <c r="Q20" s="437"/>
      <c r="R20" s="609">
        <f>R19*30.2%</f>
        <v>797363.22</v>
      </c>
      <c r="S20" s="609">
        <f>S19*30.2%</f>
        <v>80648.789999999994</v>
      </c>
      <c r="T20" s="609">
        <f>T19*30.2%</f>
        <v>88977.67</v>
      </c>
      <c r="U20" s="609">
        <f>U19*30.2%</f>
        <v>294932.61</v>
      </c>
      <c r="V20" s="609">
        <f>V19*30.2%</f>
        <v>0</v>
      </c>
      <c r="W20" s="609">
        <f>W19*30.2%+0.01</f>
        <v>1300709.96</v>
      </c>
      <c r="X20" s="441">
        <f>R20+S20+T20+U20+W20</f>
        <v>2562632.25</v>
      </c>
      <c r="Y20" s="616">
        <f>'[2]смета от 11.01.2012'!$C$42</f>
        <v>2485078.9</v>
      </c>
      <c r="Z20" s="688">
        <f>X20-Y20</f>
        <v>77553.350000000006</v>
      </c>
    </row>
    <row r="21" spans="1:26" x14ac:dyDescent="0.25">
      <c r="A21" s="64" t="s">
        <v>824</v>
      </c>
      <c r="B21" s="64"/>
      <c r="C21" s="64"/>
      <c r="D21" s="64"/>
      <c r="E21" s="64"/>
      <c r="F21" s="509" t="s">
        <v>825</v>
      </c>
      <c r="P21" s="208"/>
      <c r="Q21" s="208"/>
      <c r="R21" s="208"/>
      <c r="S21" s="208"/>
      <c r="T21" s="208"/>
      <c r="U21" s="208"/>
      <c r="V21" s="208"/>
      <c r="W21" s="208"/>
      <c r="X21" s="508"/>
    </row>
    <row r="22" spans="1:26" x14ac:dyDescent="0.25">
      <c r="A22" s="64"/>
      <c r="B22" s="64"/>
      <c r="C22" s="64"/>
      <c r="D22" s="64"/>
      <c r="E22" s="64"/>
      <c r="F22" s="509"/>
      <c r="P22" s="665"/>
      <c r="Q22" s="665"/>
      <c r="R22" s="665"/>
      <c r="S22" s="665"/>
      <c r="T22" s="665"/>
      <c r="U22" s="665"/>
      <c r="V22" s="665"/>
      <c r="W22" s="665"/>
      <c r="X22" s="689"/>
    </row>
    <row r="23" spans="1:26" x14ac:dyDescent="0.25">
      <c r="A23" s="68"/>
      <c r="B23" s="68"/>
      <c r="C23" s="68"/>
      <c r="D23" s="68"/>
      <c r="E23" s="68"/>
      <c r="F23" s="68"/>
      <c r="X23" s="616"/>
    </row>
    <row r="24" spans="1:26" x14ac:dyDescent="0.25">
      <c r="A24" s="64" t="s">
        <v>99</v>
      </c>
      <c r="B24" s="64"/>
      <c r="C24" s="64"/>
      <c r="D24" s="64"/>
      <c r="E24" s="64"/>
      <c r="F24" s="64" t="s">
        <v>897</v>
      </c>
      <c r="X24" s="688" t="e">
        <f>'[3]смета от 11.01.2012'!$C$19+'[3]смета от 11.01.2012'!$C$20-X19</f>
        <v>#REF!</v>
      </c>
    </row>
    <row r="25" spans="1:26" x14ac:dyDescent="0.25">
      <c r="S25" s="683">
        <f>435500*5%</f>
        <v>21775</v>
      </c>
      <c r="W25" s="616">
        <f>718600*29.1%</f>
        <v>209112.6</v>
      </c>
      <c r="X25" s="616" t="e">
        <f>'[3]смета от 11.01.2012'!$C$23+'[3]смета от 11.01.2012'!$C$24-X20</f>
        <v>#REF!</v>
      </c>
    </row>
    <row r="26" spans="1:26" x14ac:dyDescent="0.25">
      <c r="S26" s="683">
        <f>718600*5%</f>
        <v>35930</v>
      </c>
      <c r="W26" s="616">
        <f>465500*29.1%</f>
        <v>135460.5</v>
      </c>
    </row>
    <row r="27" spans="1:26" x14ac:dyDescent="0.25">
      <c r="S27" s="683">
        <f>524000*5%</f>
        <v>26200</v>
      </c>
      <c r="W27" s="616">
        <f>524000*29.1%</f>
        <v>152484</v>
      </c>
    </row>
    <row r="28" spans="1:26" x14ac:dyDescent="0.25">
      <c r="W28" s="616">
        <f>W18-W25-W26-W27</f>
        <v>0</v>
      </c>
    </row>
    <row r="29" spans="1:26" ht="44.25" customHeight="1" x14ac:dyDescent="0.25">
      <c r="A29" s="861" t="s">
        <v>502</v>
      </c>
      <c r="B29" s="861"/>
      <c r="C29" s="861"/>
      <c r="D29" s="861"/>
      <c r="E29" s="861"/>
      <c r="F29" s="861"/>
      <c r="G29" s="861"/>
      <c r="H29" s="861"/>
    </row>
    <row r="30" spans="1:26" x14ac:dyDescent="0.25">
      <c r="A30" s="64"/>
      <c r="B30" s="64"/>
      <c r="C30" s="64"/>
      <c r="D30" s="64"/>
      <c r="E30" s="64"/>
      <c r="F30" s="64"/>
      <c r="G30" s="172"/>
      <c r="H30" s="64"/>
    </row>
    <row r="31" spans="1:26" ht="35.25" customHeight="1" x14ac:dyDescent="0.25">
      <c r="A31" s="864" t="s">
        <v>826</v>
      </c>
      <c r="B31" s="867" t="s">
        <v>899</v>
      </c>
      <c r="C31" s="868"/>
      <c r="D31" s="868"/>
      <c r="E31" s="868"/>
      <c r="F31" s="868"/>
      <c r="G31" s="869"/>
      <c r="H31" s="872" t="s">
        <v>820</v>
      </c>
    </row>
    <row r="32" spans="1:26" ht="25.5" customHeight="1" x14ac:dyDescent="0.25">
      <c r="A32" s="864"/>
      <c r="B32" s="867" t="s">
        <v>602</v>
      </c>
      <c r="C32" s="868"/>
      <c r="D32" s="868"/>
      <c r="E32" s="868"/>
      <c r="F32" s="869"/>
      <c r="G32" s="630" t="s">
        <v>601</v>
      </c>
      <c r="H32" s="874"/>
    </row>
    <row r="33" spans="1:8" x14ac:dyDescent="0.25">
      <c r="A33" s="166"/>
      <c r="B33" s="583">
        <v>401101</v>
      </c>
      <c r="C33" s="583">
        <v>401102</v>
      </c>
      <c r="D33" s="583">
        <v>401201</v>
      </c>
      <c r="E33" s="583">
        <v>401202</v>
      </c>
      <c r="F33" s="583" t="s">
        <v>854</v>
      </c>
      <c r="G33" s="167"/>
      <c r="H33" s="108"/>
    </row>
    <row r="34" spans="1:8" ht="55.5" customHeight="1" x14ac:dyDescent="0.25">
      <c r="A34" s="121" t="s">
        <v>503</v>
      </c>
      <c r="B34" s="687">
        <f>B8*30.2%</f>
        <v>0</v>
      </c>
      <c r="C34" s="687">
        <f>C8*30.2%</f>
        <v>0</v>
      </c>
      <c r="D34" s="687">
        <f>D8*30.2%</f>
        <v>721085.4</v>
      </c>
      <c r="E34" s="687">
        <f>E8*30.2%</f>
        <v>0</v>
      </c>
      <c r="F34" s="687">
        <f t="shared" ref="F34:F43" si="1">B34+C34+D34+E34</f>
        <v>721085.4</v>
      </c>
      <c r="G34" s="687">
        <f>G8*30.2%</f>
        <v>0</v>
      </c>
      <c r="H34" s="464">
        <f>F34+G34</f>
        <v>721085.4</v>
      </c>
    </row>
    <row r="35" spans="1:8" ht="52.5" customHeight="1" x14ac:dyDescent="0.25">
      <c r="A35" s="121" t="s">
        <v>679</v>
      </c>
      <c r="B35" s="687">
        <f>B9*30.2%</f>
        <v>0</v>
      </c>
      <c r="C35" s="687">
        <f>C9*30.2%</f>
        <v>0</v>
      </c>
      <c r="D35" s="687"/>
      <c r="E35" s="687">
        <f>проверка!N14-'211,213 (3)'!D34</f>
        <v>473570.19</v>
      </c>
      <c r="F35" s="687">
        <f t="shared" si="1"/>
        <v>473570.19</v>
      </c>
      <c r="G35" s="687">
        <f>G9*30.2%</f>
        <v>0</v>
      </c>
      <c r="H35" s="464">
        <f>F35+G35</f>
        <v>473570.19</v>
      </c>
    </row>
    <row r="36" spans="1:8" ht="18.75" customHeight="1" x14ac:dyDescent="0.25">
      <c r="A36" s="121" t="s">
        <v>880</v>
      </c>
      <c r="B36" s="687"/>
      <c r="C36" s="687"/>
      <c r="D36" s="687"/>
      <c r="E36" s="687">
        <f>E35-E37-E38</f>
        <v>372743.26</v>
      </c>
      <c r="F36" s="687">
        <f t="shared" si="1"/>
        <v>372743.26</v>
      </c>
      <c r="G36" s="687"/>
      <c r="H36" s="464"/>
    </row>
    <row r="37" spans="1:8" ht="21" customHeight="1" x14ac:dyDescent="0.25">
      <c r="A37" s="121" t="s">
        <v>882</v>
      </c>
      <c r="B37" s="687"/>
      <c r="C37" s="687"/>
      <c r="D37" s="687"/>
      <c r="E37" s="687">
        <f>E11*30.2%</f>
        <v>47517.89</v>
      </c>
      <c r="F37" s="687">
        <f t="shared" si="1"/>
        <v>47517.89</v>
      </c>
      <c r="G37" s="687"/>
      <c r="H37" s="464"/>
    </row>
    <row r="38" spans="1:8" ht="16.5" customHeight="1" x14ac:dyDescent="0.25">
      <c r="A38" s="121" t="s">
        <v>881</v>
      </c>
      <c r="B38" s="687"/>
      <c r="C38" s="687"/>
      <c r="D38" s="687"/>
      <c r="E38" s="687">
        <f>E12*30.2%</f>
        <v>53309.04</v>
      </c>
      <c r="F38" s="687">
        <f t="shared" si="1"/>
        <v>53309.04</v>
      </c>
      <c r="G38" s="687"/>
      <c r="H38" s="464"/>
    </row>
    <row r="39" spans="1:8" ht="36.75" customHeight="1" x14ac:dyDescent="0.25">
      <c r="A39" s="416" t="s">
        <v>504</v>
      </c>
      <c r="B39" s="157">
        <f>B13*30.2%</f>
        <v>2642102.5699999998</v>
      </c>
      <c r="C39" s="157">
        <f>C13*30.2%</f>
        <v>0</v>
      </c>
      <c r="D39" s="157">
        <f>D13*30.2%</f>
        <v>0</v>
      </c>
      <c r="E39" s="157">
        <f>E13*30.2%</f>
        <v>0</v>
      </c>
      <c r="F39" s="687">
        <f t="shared" si="1"/>
        <v>2642102.5699999998</v>
      </c>
      <c r="G39" s="157">
        <f>G13*30.2%</f>
        <v>797363.22</v>
      </c>
      <c r="H39" s="464">
        <f>F39+G39</f>
        <v>3439465.79</v>
      </c>
    </row>
    <row r="40" spans="1:8" ht="51" customHeight="1" x14ac:dyDescent="0.25">
      <c r="A40" s="121" t="s">
        <v>679</v>
      </c>
      <c r="B40" s="464"/>
      <c r="C40" s="687">
        <f>проверка!M11+проверка!M13-B39</f>
        <v>1921051.96</v>
      </c>
      <c r="D40" s="687">
        <f>E14*30.2%</f>
        <v>0</v>
      </c>
      <c r="E40" s="687"/>
      <c r="F40" s="687">
        <f t="shared" si="1"/>
        <v>1921051.96</v>
      </c>
      <c r="G40" s="687">
        <f>G14*30.2%</f>
        <v>1765269.03</v>
      </c>
      <c r="H40" s="464">
        <f>F40+G40</f>
        <v>3686320.99</v>
      </c>
    </row>
    <row r="41" spans="1:8" ht="18.75" customHeight="1" x14ac:dyDescent="0.25">
      <c r="A41" s="121" t="s">
        <v>880</v>
      </c>
      <c r="B41" s="464"/>
      <c r="C41" s="687">
        <f>C40-C42-C43</f>
        <v>1517744.25</v>
      </c>
      <c r="D41" s="687"/>
      <c r="E41" s="687"/>
      <c r="F41" s="687">
        <f t="shared" si="1"/>
        <v>1517744.25</v>
      </c>
      <c r="G41" s="687"/>
      <c r="H41" s="464"/>
    </row>
    <row r="42" spans="1:8" ht="17.25" customHeight="1" x14ac:dyDescent="0.25">
      <c r="A42" s="121" t="s">
        <v>882</v>
      </c>
      <c r="B42" s="464"/>
      <c r="C42" s="687">
        <f>C16*30.2%</f>
        <v>190071.55</v>
      </c>
      <c r="D42" s="687"/>
      <c r="E42" s="687"/>
      <c r="F42" s="687">
        <f t="shared" si="1"/>
        <v>190071.55</v>
      </c>
      <c r="G42" s="687"/>
      <c r="H42" s="464"/>
    </row>
    <row r="43" spans="1:8" ht="18" customHeight="1" x14ac:dyDescent="0.25">
      <c r="A43" s="121" t="s">
        <v>881</v>
      </c>
      <c r="B43" s="464"/>
      <c r="C43" s="687">
        <f>C17*30.2%</f>
        <v>213236.16</v>
      </c>
      <c r="D43" s="687"/>
      <c r="E43" s="687"/>
      <c r="F43" s="687">
        <f t="shared" si="1"/>
        <v>213236.16</v>
      </c>
      <c r="G43" s="687"/>
      <c r="H43" s="464"/>
    </row>
    <row r="44" spans="1:8" ht="22.5" customHeight="1" x14ac:dyDescent="0.25">
      <c r="A44" s="138" t="s">
        <v>505</v>
      </c>
      <c r="B44" s="126">
        <f t="shared" ref="B44:H44" si="2">B34+B35+B39+B40</f>
        <v>2642102.5699999998</v>
      </c>
      <c r="C44" s="126">
        <f t="shared" si="2"/>
        <v>1921051.96</v>
      </c>
      <c r="D44" s="126">
        <f t="shared" si="2"/>
        <v>721085.4</v>
      </c>
      <c r="E44" s="126">
        <f t="shared" si="2"/>
        <v>473570.19</v>
      </c>
      <c r="F44" s="126">
        <f t="shared" si="2"/>
        <v>5757810.1200000001</v>
      </c>
      <c r="G44" s="126">
        <f t="shared" si="2"/>
        <v>2562632.25</v>
      </c>
      <c r="H44" s="126">
        <f t="shared" si="2"/>
        <v>8320442.3700000001</v>
      </c>
    </row>
    <row r="45" spans="1:8" x14ac:dyDescent="0.25">
      <c r="F45" s="616"/>
    </row>
    <row r="47" spans="1:8" x14ac:dyDescent="0.25">
      <c r="A47" s="64" t="s">
        <v>824</v>
      </c>
      <c r="B47" s="64"/>
      <c r="C47" s="64"/>
      <c r="D47" s="64"/>
      <c r="E47" s="64"/>
      <c r="F47" s="509" t="s">
        <v>825</v>
      </c>
    </row>
    <row r="48" spans="1:8" x14ac:dyDescent="0.25">
      <c r="A48" s="68"/>
      <c r="B48" s="68"/>
      <c r="C48" s="68"/>
      <c r="D48" s="68"/>
      <c r="E48" s="68"/>
      <c r="F48" s="68"/>
    </row>
    <row r="49" spans="1:6" x14ac:dyDescent="0.25">
      <c r="A49" s="64" t="s">
        <v>99</v>
      </c>
      <c r="B49" s="64"/>
      <c r="C49" s="64"/>
      <c r="D49" s="64"/>
      <c r="E49" s="64"/>
      <c r="F49" s="64" t="s">
        <v>897</v>
      </c>
    </row>
  </sheetData>
  <mergeCells count="18">
    <mergeCell ref="X1:X2"/>
    <mergeCell ref="H5:H7"/>
    <mergeCell ref="A31:A32"/>
    <mergeCell ref="H31:H32"/>
    <mergeCell ref="A5:A7"/>
    <mergeCell ref="V1:W1"/>
    <mergeCell ref="U1:U2"/>
    <mergeCell ref="T1:T2"/>
    <mergeCell ref="S1:S2"/>
    <mergeCell ref="R1:R2"/>
    <mergeCell ref="Q1:Q2"/>
    <mergeCell ref="P1:P2"/>
    <mergeCell ref="B32:F32"/>
    <mergeCell ref="B6:F6"/>
    <mergeCell ref="B5:G5"/>
    <mergeCell ref="A3:H3"/>
    <mergeCell ref="B31:G31"/>
    <mergeCell ref="A29:H29"/>
  </mergeCells>
  <phoneticPr fontId="17" type="noConversion"/>
  <pageMargins left="0" right="0.11811023622047245" top="0.74803149606299213" bottom="0.74803149606299213" header="0.31496062992125984" footer="0.31496062992125984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topLeftCell="A10" workbookViewId="0">
      <selection activeCell="F8" sqref="F8"/>
    </sheetView>
  </sheetViews>
  <sheetFormatPr defaultRowHeight="15" x14ac:dyDescent="0.25"/>
  <cols>
    <col min="1" max="1" width="19.85546875" style="95" customWidth="1"/>
    <col min="2" max="2" width="9.42578125" style="95" customWidth="1"/>
    <col min="3" max="3" width="10.42578125" style="95" customWidth="1"/>
    <col min="4" max="4" width="9.7109375" style="95" customWidth="1"/>
    <col min="5" max="5" width="9.5703125" style="95" customWidth="1"/>
    <col min="6" max="6" width="11.28515625" style="95" customWidth="1"/>
    <col min="7" max="7" width="10.85546875" style="95" customWidth="1"/>
    <col min="8" max="8" width="10.28515625" style="95" customWidth="1"/>
    <col min="16" max="16" width="8.28515625" style="145" customWidth="1"/>
    <col min="17" max="17" width="10.42578125" style="145" customWidth="1"/>
    <col min="18" max="18" width="13.7109375" style="145" customWidth="1"/>
    <col min="19" max="21" width="11.28515625" style="145" customWidth="1"/>
    <col min="22" max="22" width="6.42578125" style="145" customWidth="1"/>
    <col min="23" max="23" width="12.7109375" style="145" customWidth="1"/>
    <col min="24" max="24" width="13.5703125" style="145" customWidth="1"/>
    <col min="25" max="25" width="13.7109375" style="145" customWidth="1"/>
    <col min="26" max="26" width="9" style="145" customWidth="1"/>
  </cols>
  <sheetData>
    <row r="1" spans="1:26" x14ac:dyDescent="0.25">
      <c r="P1" s="871" t="s">
        <v>500</v>
      </c>
      <c r="Q1" s="870" t="s">
        <v>870</v>
      </c>
      <c r="R1" s="865" t="s">
        <v>573</v>
      </c>
      <c r="S1" s="866">
        <v>0.05</v>
      </c>
      <c r="T1" s="866">
        <v>0.08</v>
      </c>
      <c r="U1" s="866" t="s">
        <v>482</v>
      </c>
      <c r="V1" s="865" t="s">
        <v>499</v>
      </c>
      <c r="W1" s="865"/>
      <c r="X1" s="862" t="s">
        <v>854</v>
      </c>
    </row>
    <row r="2" spans="1:26" x14ac:dyDescent="0.25">
      <c r="A2" s="3"/>
      <c r="B2" s="3"/>
      <c r="C2" s="3"/>
      <c r="D2" s="3"/>
      <c r="E2" s="3"/>
      <c r="F2" s="3"/>
      <c r="G2" s="3"/>
      <c r="H2" s="3"/>
      <c r="P2" s="871"/>
      <c r="Q2" s="870"/>
      <c r="R2" s="865"/>
      <c r="S2" s="866"/>
      <c r="T2" s="866"/>
      <c r="U2" s="866"/>
      <c r="V2" s="607" t="s">
        <v>858</v>
      </c>
      <c r="W2" s="608" t="s">
        <v>671</v>
      </c>
      <c r="X2" s="863"/>
    </row>
    <row r="3" spans="1:26" ht="27.75" customHeight="1" x14ac:dyDescent="0.25">
      <c r="A3" s="861" t="s">
        <v>501</v>
      </c>
      <c r="B3" s="861"/>
      <c r="C3" s="861"/>
      <c r="D3" s="861"/>
      <c r="E3" s="861"/>
      <c r="F3" s="861"/>
      <c r="G3" s="861"/>
      <c r="H3" s="861"/>
      <c r="P3" s="507">
        <v>15</v>
      </c>
      <c r="Q3" s="425">
        <v>5403860.4000000004</v>
      </c>
      <c r="R3" s="439">
        <f>164362.79+1146714.56</f>
        <v>1311077.3500000001</v>
      </c>
      <c r="S3" s="439"/>
      <c r="T3" s="439"/>
      <c r="U3" s="439">
        <v>63602.06</v>
      </c>
      <c r="V3" s="606">
        <v>0.31</v>
      </c>
      <c r="W3" s="438">
        <f>Q3*V3+0.01</f>
        <v>1675196.73</v>
      </c>
      <c r="X3" s="440">
        <f>R3+S3+T3+U3+W3</f>
        <v>3049876.14</v>
      </c>
    </row>
    <row r="4" spans="1:26" x14ac:dyDescent="0.25">
      <c r="A4" s="197"/>
      <c r="B4" s="197"/>
      <c r="C4" s="197"/>
      <c r="D4" s="197"/>
      <c r="E4" s="197"/>
      <c r="F4" s="197"/>
      <c r="G4" s="172"/>
      <c r="H4" s="197"/>
      <c r="P4" s="507">
        <v>16</v>
      </c>
      <c r="Q4" s="147">
        <v>3682850.63</v>
      </c>
      <c r="R4" s="439">
        <f>961760</f>
        <v>961760</v>
      </c>
      <c r="S4" s="439"/>
      <c r="T4" s="439">
        <f>Q4*8%+0.01</f>
        <v>294628.06</v>
      </c>
      <c r="U4" s="439"/>
      <c r="V4" s="606">
        <v>0.27839999999999998</v>
      </c>
      <c r="W4" s="438">
        <f t="shared" ref="W4:W11" si="0">Q4*V4</f>
        <v>1025305.62</v>
      </c>
      <c r="X4" s="440">
        <f t="shared" ref="X4:X11" si="1">R4+S4+T4+U4+W4</f>
        <v>2281693.6800000002</v>
      </c>
    </row>
    <row r="5" spans="1:26" ht="27.75" customHeight="1" x14ac:dyDescent="0.25">
      <c r="A5" s="864" t="s">
        <v>826</v>
      </c>
      <c r="B5" s="867" t="s">
        <v>899</v>
      </c>
      <c r="C5" s="868"/>
      <c r="D5" s="868"/>
      <c r="E5" s="868"/>
      <c r="F5" s="868"/>
      <c r="G5" s="869"/>
      <c r="H5" s="872" t="s">
        <v>820</v>
      </c>
      <c r="P5" s="507">
        <v>10</v>
      </c>
      <c r="Q5" s="425">
        <v>1200000</v>
      </c>
      <c r="R5" s="439">
        <f>288036.8</f>
        <v>288036.8</v>
      </c>
      <c r="S5" s="439">
        <f>Q5*5%</f>
        <v>60000</v>
      </c>
      <c r="T5" s="439"/>
      <c r="U5" s="439">
        <f>183840</f>
        <v>183840</v>
      </c>
      <c r="V5" s="606">
        <v>0.25990000000000002</v>
      </c>
      <c r="W5" s="438">
        <f t="shared" si="0"/>
        <v>311880</v>
      </c>
      <c r="X5" s="440">
        <f t="shared" si="1"/>
        <v>843756.8</v>
      </c>
    </row>
    <row r="6" spans="1:26" ht="38.25" x14ac:dyDescent="0.25">
      <c r="A6" s="864"/>
      <c r="B6" s="867" t="s">
        <v>602</v>
      </c>
      <c r="C6" s="868"/>
      <c r="D6" s="868"/>
      <c r="E6" s="868"/>
      <c r="F6" s="869"/>
      <c r="G6" s="630" t="s">
        <v>601</v>
      </c>
      <c r="H6" s="873"/>
      <c r="P6" s="507"/>
      <c r="Q6" s="425"/>
      <c r="R6" s="439"/>
      <c r="S6" s="439"/>
      <c r="T6" s="439"/>
      <c r="U6" s="439"/>
      <c r="V6" s="606"/>
      <c r="W6" s="438"/>
      <c r="X6" s="440"/>
    </row>
    <row r="7" spans="1:26" x14ac:dyDescent="0.25">
      <c r="A7" s="864"/>
      <c r="B7" s="583">
        <v>401101</v>
      </c>
      <c r="C7" s="583">
        <v>401102</v>
      </c>
      <c r="D7" s="583">
        <v>401201</v>
      </c>
      <c r="E7" s="583">
        <v>401202</v>
      </c>
      <c r="F7" s="583" t="s">
        <v>854</v>
      </c>
      <c r="G7" s="662"/>
      <c r="H7" s="874"/>
      <c r="P7" s="507">
        <v>5</v>
      </c>
      <c r="Q7" s="425">
        <v>1482854</v>
      </c>
      <c r="R7" s="439">
        <f>79401.42</f>
        <v>79401.42</v>
      </c>
      <c r="S7" s="439">
        <f>Q7*5%</f>
        <v>74142.7</v>
      </c>
      <c r="T7" s="439"/>
      <c r="U7" s="439">
        <f>125760+17516.8</f>
        <v>143276.79999999999</v>
      </c>
      <c r="V7" s="606">
        <v>0.217</v>
      </c>
      <c r="W7" s="438">
        <f t="shared" si="0"/>
        <v>321779.32</v>
      </c>
      <c r="X7" s="440">
        <f t="shared" si="1"/>
        <v>618600.24</v>
      </c>
    </row>
    <row r="8" spans="1:26" ht="54" customHeight="1" x14ac:dyDescent="0.25">
      <c r="A8" s="123" t="s">
        <v>60</v>
      </c>
      <c r="B8" s="124"/>
      <c r="C8" s="124"/>
      <c r="D8" s="610">
        <f>'расчет з.п.повышенного уровня'!T11</f>
        <v>2387700</v>
      </c>
      <c r="E8" s="610"/>
      <c r="F8" s="423">
        <f>B8+D8</f>
        <v>2387700</v>
      </c>
      <c r="G8" s="210"/>
      <c r="H8" s="122">
        <f>D8+G8</f>
        <v>2387700</v>
      </c>
      <c r="P8" s="507">
        <v>14</v>
      </c>
      <c r="Q8" s="147">
        <v>109919.22</v>
      </c>
      <c r="R8" s="439"/>
      <c r="S8" s="439">
        <f>Q8*5%+0.01</f>
        <v>5495.97</v>
      </c>
      <c r="T8" s="439"/>
      <c r="U8" s="439">
        <v>36833.919999999998</v>
      </c>
      <c r="V8" s="606">
        <v>0.14680000000000001</v>
      </c>
      <c r="W8" s="438">
        <f t="shared" si="0"/>
        <v>16136.14</v>
      </c>
      <c r="X8" s="440">
        <f t="shared" si="1"/>
        <v>58466.03</v>
      </c>
    </row>
    <row r="9" spans="1:26" ht="51.75" customHeight="1" x14ac:dyDescent="0.25">
      <c r="A9" s="123" t="s">
        <v>848</v>
      </c>
      <c r="B9" s="124"/>
      <c r="C9" s="124"/>
      <c r="E9" s="610">
        <f>'расчет з.п.повышенного уровня'!T21</f>
        <v>2007648</v>
      </c>
      <c r="F9" s="423">
        <f>B9+E9</f>
        <v>2007648</v>
      </c>
      <c r="G9" s="210"/>
      <c r="H9" s="122">
        <f>E9+G9</f>
        <v>2007648</v>
      </c>
      <c r="P9" s="507">
        <v>17</v>
      </c>
      <c r="Q9" s="425">
        <v>7000</v>
      </c>
      <c r="R9" s="439"/>
      <c r="S9" s="439">
        <f>Q9*5%</f>
        <v>350</v>
      </c>
      <c r="T9" s="439"/>
      <c r="U9" s="439"/>
      <c r="V9" s="606">
        <v>0.29099999999999998</v>
      </c>
      <c r="W9" s="438">
        <f t="shared" si="0"/>
        <v>2037</v>
      </c>
      <c r="X9" s="440">
        <f t="shared" si="1"/>
        <v>2387</v>
      </c>
    </row>
    <row r="10" spans="1:26" ht="37.5" customHeight="1" x14ac:dyDescent="0.25">
      <c r="A10" s="416" t="s">
        <v>59</v>
      </c>
      <c r="B10" s="157">
        <f>'расчет з.п.базового уровня'!S11</f>
        <v>8748684</v>
      </c>
      <c r="C10" s="157"/>
      <c r="D10" s="124"/>
      <c r="E10" s="124"/>
      <c r="F10" s="423">
        <f>B10+D10</f>
        <v>8748684</v>
      </c>
      <c r="G10" s="122">
        <f>R13</f>
        <v>2640275.5699999998</v>
      </c>
      <c r="H10" s="122">
        <f>B10+G10</f>
        <v>11388959.57</v>
      </c>
      <c r="P10" s="507">
        <v>11</v>
      </c>
      <c r="Q10" s="425">
        <v>709384.02</v>
      </c>
      <c r="R10" s="439"/>
      <c r="S10" s="439"/>
      <c r="T10" s="439"/>
      <c r="U10" s="439">
        <v>502953.27</v>
      </c>
      <c r="V10" s="606">
        <v>0.29099999999999998</v>
      </c>
      <c r="W10" s="438">
        <f t="shared" si="0"/>
        <v>206430.75</v>
      </c>
      <c r="X10" s="440">
        <f t="shared" si="1"/>
        <v>709384.02</v>
      </c>
    </row>
    <row r="11" spans="1:26" ht="50.25" customHeight="1" x14ac:dyDescent="0.25">
      <c r="A11" s="123" t="s">
        <v>848</v>
      </c>
      <c r="C11" s="610">
        <f>'расчет з.п.базового уровня'!S21</f>
        <v>8039964</v>
      </c>
      <c r="D11" s="124"/>
      <c r="E11" s="124"/>
      <c r="F11" s="423">
        <f>C11+D11</f>
        <v>8039964</v>
      </c>
      <c r="G11" s="122">
        <f>S13+T13+U13+W13</f>
        <v>5845261.6799999997</v>
      </c>
      <c r="H11" s="122">
        <f>C11+G11</f>
        <v>13885225.68</v>
      </c>
      <c r="P11" s="507">
        <v>8</v>
      </c>
      <c r="Q11" s="147">
        <v>863106.27</v>
      </c>
      <c r="R11" s="439"/>
      <c r="S11" s="439">
        <f>Q11*5%+0.01</f>
        <v>43155.32</v>
      </c>
      <c r="T11" s="439"/>
      <c r="U11" s="439"/>
      <c r="V11" s="606">
        <v>0.29099999999999998</v>
      </c>
      <c r="W11" s="438">
        <f t="shared" si="0"/>
        <v>251163.92</v>
      </c>
      <c r="X11" s="440">
        <f t="shared" si="1"/>
        <v>294319.24</v>
      </c>
      <c r="Y11" s="145">
        <f>123855.75+127308.17</f>
        <v>251163.92</v>
      </c>
      <c r="Z11" s="436">
        <f>Y11-W11</f>
        <v>0</v>
      </c>
    </row>
    <row r="12" spans="1:26" ht="18.75" customHeight="1" x14ac:dyDescent="0.25">
      <c r="A12" s="124"/>
      <c r="B12" s="142">
        <f>B8+B9+B10+B11</f>
        <v>8748684</v>
      </c>
      <c r="C12" s="142">
        <f>C8+C9+C10+C11</f>
        <v>8039964</v>
      </c>
      <c r="D12" s="142">
        <f>D8+D9+D10+D11</f>
        <v>2387700</v>
      </c>
      <c r="E12" s="142">
        <f>E8+E9+E10+E11</f>
        <v>2007648</v>
      </c>
      <c r="F12" s="126">
        <f>D8+E9+B10+C11</f>
        <v>21183996</v>
      </c>
      <c r="G12" s="126">
        <f>G8+G9+G10+G11</f>
        <v>8485537.25</v>
      </c>
      <c r="H12" s="126">
        <f>H8+H9+H10+H11</f>
        <v>29669533.25</v>
      </c>
      <c r="P12" s="507">
        <v>13</v>
      </c>
      <c r="Q12" s="425">
        <v>1658151.85</v>
      </c>
      <c r="R12" s="439"/>
      <c r="S12" s="439">
        <f>S19+S20+S21</f>
        <v>83905</v>
      </c>
      <c r="T12" s="439"/>
      <c r="U12" s="439">
        <f>46092</f>
        <v>46092</v>
      </c>
      <c r="V12" s="606">
        <v>0.29099999999999998</v>
      </c>
      <c r="W12" s="438">
        <f>W19+W20+W21</f>
        <v>497057.1</v>
      </c>
      <c r="X12" s="440">
        <f>R12+S12+T12+U12+W12</f>
        <v>627054.1</v>
      </c>
      <c r="Y12" s="186">
        <f>754362.27-127308.17</f>
        <v>627054.1</v>
      </c>
      <c r="Z12" s="186">
        <f>Y12-X12</f>
        <v>0</v>
      </c>
    </row>
    <row r="13" spans="1:26" x14ac:dyDescent="0.25">
      <c r="P13" s="437">
        <v>211</v>
      </c>
      <c r="Q13" s="437"/>
      <c r="R13" s="441">
        <f>R3+R4+R5+R7+R8+R9+R10+R11+R12</f>
        <v>2640275.5699999998</v>
      </c>
      <c r="S13" s="441">
        <f>S3+S4+S5+S7+S8+S9+S10+S11+S12</f>
        <v>267048.99</v>
      </c>
      <c r="T13" s="441">
        <f>T3+T4+T5+T7+T8+T9+T10+T11+T12</f>
        <v>294628.06</v>
      </c>
      <c r="U13" s="441">
        <f>U3+U4+U5+U7+U8+U9+U10+U11+U12</f>
        <v>976598.05</v>
      </c>
      <c r="V13" s="441"/>
      <c r="W13" s="441">
        <f>W3+W4+W5+W7+W8+W9+W10+W11+W12</f>
        <v>4306986.58</v>
      </c>
      <c r="X13" s="441">
        <f>X3+X4+X5+X7+X8+X9+X10+X11+X12</f>
        <v>8485537.25</v>
      </c>
      <c r="Y13" s="189">
        <f>'[2]смета от 11.01.2012'!$C$40</f>
        <v>8228738.0499999998</v>
      </c>
      <c r="Z13" s="435">
        <f>X13-Y13</f>
        <v>256799.2</v>
      </c>
    </row>
    <row r="14" spans="1:26" x14ac:dyDescent="0.25">
      <c r="P14" s="437">
        <v>213</v>
      </c>
      <c r="Q14" s="437"/>
      <c r="R14" s="609">
        <f>R13*30.2%</f>
        <v>797363.22</v>
      </c>
      <c r="S14" s="609">
        <f>S13*30.2%</f>
        <v>80648.789999999994</v>
      </c>
      <c r="T14" s="609">
        <f>T13*30.2%</f>
        <v>88977.67</v>
      </c>
      <c r="U14" s="609">
        <f>U13*30.2%</f>
        <v>294932.61</v>
      </c>
      <c r="V14" s="609">
        <f>V13*30.2%</f>
        <v>0</v>
      </c>
      <c r="W14" s="609">
        <f>W13*30.2%+0.01</f>
        <v>1300709.96</v>
      </c>
      <c r="X14" s="441">
        <f>R14+S14+T14+U14+W14</f>
        <v>2562632.25</v>
      </c>
      <c r="Y14" s="186">
        <f>'[2]смета от 11.01.2012'!$C$42</f>
        <v>2485078.9</v>
      </c>
      <c r="Z14" s="436">
        <f>X14-Y14</f>
        <v>77553.350000000006</v>
      </c>
    </row>
    <row r="15" spans="1:26" x14ac:dyDescent="0.25">
      <c r="A15" s="64" t="s">
        <v>824</v>
      </c>
      <c r="B15" s="64"/>
      <c r="C15" s="64"/>
      <c r="D15" s="64"/>
      <c r="E15" s="64"/>
      <c r="F15" s="509" t="s">
        <v>825</v>
      </c>
      <c r="P15" s="147"/>
      <c r="Q15" s="147"/>
      <c r="R15" s="147"/>
      <c r="S15" s="147"/>
      <c r="T15" s="147"/>
      <c r="U15" s="147"/>
      <c r="V15" s="147"/>
      <c r="W15" s="147"/>
      <c r="X15" s="425"/>
    </row>
    <row r="16" spans="1:26" x14ac:dyDescent="0.25">
      <c r="A16" s="64"/>
      <c r="B16" s="64"/>
      <c r="C16" s="64"/>
      <c r="D16" s="64"/>
      <c r="E16" s="64"/>
      <c r="F16" s="509"/>
      <c r="P16" s="501"/>
      <c r="Q16" s="501"/>
      <c r="R16" s="501"/>
      <c r="S16" s="501"/>
      <c r="T16" s="501"/>
      <c r="U16" s="501"/>
      <c r="V16" s="501"/>
      <c r="W16" s="501"/>
      <c r="X16" s="611"/>
    </row>
    <row r="17" spans="1:24" x14ac:dyDescent="0.25">
      <c r="A17" s="68"/>
      <c r="B17" s="68"/>
      <c r="C17" s="68"/>
      <c r="D17" s="68"/>
      <c r="E17" s="68"/>
      <c r="F17" s="68"/>
      <c r="X17" s="186"/>
    </row>
    <row r="18" spans="1:24" x14ac:dyDescent="0.25">
      <c r="A18" s="64" t="s">
        <v>99</v>
      </c>
      <c r="B18" s="64"/>
      <c r="C18" s="64"/>
      <c r="D18" s="64"/>
      <c r="E18" s="64"/>
      <c r="F18" s="64" t="s">
        <v>897</v>
      </c>
      <c r="X18" s="436" t="e">
        <f>'[3]смета от 11.01.2012'!$C$19+'[3]смета от 11.01.2012'!$C$20-X13</f>
        <v>#REF!</v>
      </c>
    </row>
    <row r="19" spans="1:24" x14ac:dyDescent="0.25">
      <c r="S19" s="439">
        <f>435500*5%</f>
        <v>21775</v>
      </c>
      <c r="W19" s="186">
        <f>718600*29.1%</f>
        <v>209112.6</v>
      </c>
      <c r="X19" s="186" t="e">
        <f>'[3]смета от 11.01.2012'!$C$23+'[3]смета от 11.01.2012'!$C$24-X14</f>
        <v>#REF!</v>
      </c>
    </row>
    <row r="20" spans="1:24" x14ac:dyDescent="0.25">
      <c r="S20" s="439">
        <f>718600*5%</f>
        <v>35930</v>
      </c>
      <c r="W20" s="186">
        <f>465500*29.1%</f>
        <v>135460.5</v>
      </c>
    </row>
    <row r="21" spans="1:24" x14ac:dyDescent="0.25">
      <c r="S21" s="439">
        <f>524000*5%</f>
        <v>26200</v>
      </c>
      <c r="W21" s="186">
        <f>524000*29.1%</f>
        <v>152484</v>
      </c>
    </row>
    <row r="22" spans="1:24" x14ac:dyDescent="0.25">
      <c r="W22" s="186">
        <f>W12-W19-W20-W21</f>
        <v>0</v>
      </c>
    </row>
    <row r="23" spans="1:24" ht="44.25" customHeight="1" x14ac:dyDescent="0.25">
      <c r="A23" s="861" t="s">
        <v>502</v>
      </c>
      <c r="B23" s="861"/>
      <c r="C23" s="861"/>
      <c r="D23" s="861"/>
      <c r="E23" s="861"/>
      <c r="F23" s="861"/>
      <c r="G23" s="861"/>
      <c r="H23" s="861"/>
    </row>
    <row r="24" spans="1:24" x14ac:dyDescent="0.25">
      <c r="A24" s="197"/>
      <c r="B24" s="197"/>
      <c r="C24" s="197"/>
      <c r="D24" s="197"/>
      <c r="E24" s="197"/>
      <c r="F24" s="197"/>
      <c r="G24" s="172"/>
      <c r="H24" s="197"/>
    </row>
    <row r="25" spans="1:24" ht="35.25" customHeight="1" x14ac:dyDescent="0.25">
      <c r="A25" s="864" t="s">
        <v>826</v>
      </c>
      <c r="B25" s="867" t="s">
        <v>899</v>
      </c>
      <c r="C25" s="868"/>
      <c r="D25" s="868"/>
      <c r="E25" s="868"/>
      <c r="F25" s="868"/>
      <c r="G25" s="869"/>
      <c r="H25" s="872" t="s">
        <v>820</v>
      </c>
    </row>
    <row r="26" spans="1:24" ht="25.5" customHeight="1" x14ac:dyDescent="0.25">
      <c r="A26" s="864"/>
      <c r="B26" s="867" t="s">
        <v>602</v>
      </c>
      <c r="C26" s="868"/>
      <c r="D26" s="868"/>
      <c r="E26" s="868"/>
      <c r="F26" s="869"/>
      <c r="G26" s="630" t="s">
        <v>601</v>
      </c>
      <c r="H26" s="874"/>
    </row>
    <row r="27" spans="1:24" x14ac:dyDescent="0.25">
      <c r="A27" s="166"/>
      <c r="B27" s="583">
        <v>401101</v>
      </c>
      <c r="C27" s="583">
        <v>401102</v>
      </c>
      <c r="D27" s="583">
        <v>401201</v>
      </c>
      <c r="E27" s="583">
        <v>401202</v>
      </c>
      <c r="F27" s="583" t="s">
        <v>854</v>
      </c>
      <c r="G27" s="167"/>
      <c r="H27" s="108"/>
    </row>
    <row r="28" spans="1:24" ht="55.5" customHeight="1" x14ac:dyDescent="0.25">
      <c r="A28" s="123" t="s">
        <v>503</v>
      </c>
      <c r="B28" s="610">
        <f>B8*30.2%</f>
        <v>0</v>
      </c>
      <c r="C28" s="610">
        <f>C8*30.2%</f>
        <v>0</v>
      </c>
      <c r="D28" s="610">
        <f>D8*30.2%</f>
        <v>721085.4</v>
      </c>
      <c r="E28" s="610">
        <f>E8*30.2%</f>
        <v>0</v>
      </c>
      <c r="F28" s="610">
        <f>B28+C28+D28+E28</f>
        <v>721085.4</v>
      </c>
      <c r="G28" s="610">
        <f>G8*30.2%</f>
        <v>0</v>
      </c>
      <c r="H28" s="122">
        <f>F28+G28</f>
        <v>721085.4</v>
      </c>
    </row>
    <row r="29" spans="1:24" ht="52.5" customHeight="1" x14ac:dyDescent="0.25">
      <c r="A29" s="123" t="s">
        <v>848</v>
      </c>
      <c r="B29" s="610">
        <f>B9*30.2%</f>
        <v>0</v>
      </c>
      <c r="C29" s="610">
        <f>C9*30.2%</f>
        <v>0</v>
      </c>
      <c r="D29" s="610"/>
      <c r="E29" s="610">
        <f>проверка!N14-'211,213'!D28</f>
        <v>473570.19</v>
      </c>
      <c r="F29" s="610">
        <f>B29+C29+D29+E29</f>
        <v>473570.19</v>
      </c>
      <c r="G29" s="610">
        <f>G9*30.2%</f>
        <v>0</v>
      </c>
      <c r="H29" s="122">
        <f>F29+G29</f>
        <v>473570.19</v>
      </c>
    </row>
    <row r="30" spans="1:24" ht="36.75" customHeight="1" x14ac:dyDescent="0.25">
      <c r="A30" s="416" t="s">
        <v>504</v>
      </c>
      <c r="B30" s="157">
        <f>B10*30.2%</f>
        <v>2642102.5699999998</v>
      </c>
      <c r="C30" s="157">
        <f>C10*30.2%</f>
        <v>0</v>
      </c>
      <c r="D30" s="157">
        <f>D10*30.2%</f>
        <v>0</v>
      </c>
      <c r="E30" s="157">
        <f>E10*30.2%</f>
        <v>0</v>
      </c>
      <c r="F30" s="610">
        <f>B30+C30+D30+E30</f>
        <v>2642102.5699999998</v>
      </c>
      <c r="G30" s="157">
        <f>G10*30.2%</f>
        <v>797363.22</v>
      </c>
      <c r="H30" s="122">
        <f>F30+G30</f>
        <v>3439465.79</v>
      </c>
    </row>
    <row r="31" spans="1:24" ht="51" customHeight="1" x14ac:dyDescent="0.25">
      <c r="A31" s="123" t="s">
        <v>848</v>
      </c>
      <c r="B31" s="188"/>
      <c r="C31" s="610">
        <f>проверка!M11+проверка!M13-B30</f>
        <v>1921051.96</v>
      </c>
      <c r="D31" s="610">
        <f>E11*30.2%</f>
        <v>0</v>
      </c>
      <c r="E31" s="610"/>
      <c r="F31" s="610">
        <f>B31+C31+D31+E31</f>
        <v>1921051.96</v>
      </c>
      <c r="G31" s="610">
        <f>G11*30.2%</f>
        <v>1765269.03</v>
      </c>
      <c r="H31" s="122">
        <f>F31+G31</f>
        <v>3686320.99</v>
      </c>
    </row>
    <row r="32" spans="1:24" ht="22.5" customHeight="1" x14ac:dyDescent="0.25">
      <c r="A32" s="138" t="s">
        <v>505</v>
      </c>
      <c r="B32" s="126">
        <f t="shared" ref="B32:H32" si="2">B28+B29+B30+B31</f>
        <v>2642102.5699999998</v>
      </c>
      <c r="C32" s="126">
        <f t="shared" si="2"/>
        <v>1921051.96</v>
      </c>
      <c r="D32" s="126">
        <f t="shared" si="2"/>
        <v>721085.4</v>
      </c>
      <c r="E32" s="126">
        <f t="shared" si="2"/>
        <v>473570.19</v>
      </c>
      <c r="F32" s="126">
        <f t="shared" si="2"/>
        <v>5757810.1200000001</v>
      </c>
      <c r="G32" s="126">
        <f t="shared" si="2"/>
        <v>2562632.25</v>
      </c>
      <c r="H32" s="126">
        <f t="shared" si="2"/>
        <v>8320442.3700000001</v>
      </c>
    </row>
    <row r="33" spans="1:6" x14ac:dyDescent="0.25">
      <c r="F33" s="189"/>
    </row>
    <row r="35" spans="1:6" x14ac:dyDescent="0.25">
      <c r="A35" s="64" t="s">
        <v>824</v>
      </c>
      <c r="B35" s="64"/>
      <c r="C35" s="64"/>
      <c r="D35" s="64"/>
      <c r="E35" s="64"/>
      <c r="F35" s="509" t="s">
        <v>825</v>
      </c>
    </row>
    <row r="36" spans="1:6" x14ac:dyDescent="0.25">
      <c r="A36" s="68"/>
      <c r="B36" s="68"/>
      <c r="C36" s="68"/>
      <c r="D36" s="68"/>
      <c r="E36" s="68"/>
      <c r="F36" s="68"/>
    </row>
    <row r="37" spans="1:6" x14ac:dyDescent="0.25">
      <c r="A37" s="64" t="s">
        <v>99</v>
      </c>
      <c r="B37" s="64"/>
      <c r="C37" s="64"/>
      <c r="D37" s="64"/>
      <c r="E37" s="64"/>
      <c r="F37" s="64" t="s">
        <v>897</v>
      </c>
    </row>
  </sheetData>
  <mergeCells count="18">
    <mergeCell ref="B26:F26"/>
    <mergeCell ref="B6:F6"/>
    <mergeCell ref="B5:G5"/>
    <mergeCell ref="A3:H3"/>
    <mergeCell ref="B25:G25"/>
    <mergeCell ref="A23:H23"/>
    <mergeCell ref="X1:X2"/>
    <mergeCell ref="H5:H7"/>
    <mergeCell ref="A25:A26"/>
    <mergeCell ref="H25:H26"/>
    <mergeCell ref="A5:A7"/>
    <mergeCell ref="V1:W1"/>
    <mergeCell ref="U1:U2"/>
    <mergeCell ref="T1:T2"/>
    <mergeCell ref="S1:S2"/>
    <mergeCell ref="R1:R2"/>
    <mergeCell ref="Q1:Q2"/>
    <mergeCell ref="P1:P2"/>
  </mergeCells>
  <phoneticPr fontId="17" type="noConversion"/>
  <pageMargins left="0" right="0.11811023622047245" top="0.74803149606299213" bottom="0.74803149606299213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1"/>
  <sheetViews>
    <sheetView workbookViewId="0">
      <selection activeCell="A3" sqref="A3:D19"/>
    </sheetView>
  </sheetViews>
  <sheetFormatPr defaultRowHeight="15" x14ac:dyDescent="0.25"/>
  <cols>
    <col min="1" max="1" width="40.7109375" style="95" customWidth="1"/>
    <col min="2" max="2" width="7.85546875" style="95" customWidth="1"/>
    <col min="3" max="3" width="8.7109375" style="95" customWidth="1"/>
    <col min="4" max="4" width="9.5703125" style="95" customWidth="1"/>
    <col min="5" max="5" width="9" style="95" customWidth="1"/>
    <col min="8" max="8" width="65.7109375" customWidth="1"/>
    <col min="9" max="9" width="19.28515625" customWidth="1"/>
  </cols>
  <sheetData>
    <row r="3" spans="1:9" ht="38.25" customHeight="1" x14ac:dyDescent="0.25">
      <c r="A3" s="789" t="s">
        <v>178</v>
      </c>
      <c r="B3" s="802"/>
      <c r="C3" s="802"/>
      <c r="D3" s="802"/>
    </row>
    <row r="6" spans="1:9" ht="54.75" customHeight="1" x14ac:dyDescent="0.25">
      <c r="A6" s="791" t="s">
        <v>736</v>
      </c>
      <c r="B6" s="885" t="s">
        <v>751</v>
      </c>
      <c r="C6" s="886"/>
      <c r="D6" s="887"/>
    </row>
    <row r="7" spans="1:9" x14ac:dyDescent="0.25">
      <c r="A7" s="791"/>
      <c r="B7" s="882" t="s">
        <v>602</v>
      </c>
      <c r="C7" s="883"/>
      <c r="D7" s="884"/>
      <c r="G7" s="669">
        <v>80</v>
      </c>
      <c r="H7" s="669" t="s">
        <v>4</v>
      </c>
    </row>
    <row r="8" spans="1:9" x14ac:dyDescent="0.25">
      <c r="A8" s="792"/>
      <c r="B8" s="519">
        <v>401102</v>
      </c>
      <c r="C8" s="519">
        <v>401202</v>
      </c>
      <c r="D8" s="519" t="s">
        <v>854</v>
      </c>
      <c r="G8" s="669">
        <v>20</v>
      </c>
      <c r="H8" s="669" t="s">
        <v>5</v>
      </c>
    </row>
    <row r="9" spans="1:9" ht="51.75" x14ac:dyDescent="0.25">
      <c r="A9" s="659" t="s">
        <v>680</v>
      </c>
      <c r="B9" s="122">
        <f>D9*G7%</f>
        <v>71040</v>
      </c>
      <c r="C9" s="122">
        <f>D9*G8%</f>
        <v>17760</v>
      </c>
      <c r="D9" s="126">
        <f>74*100*12</f>
        <v>88800</v>
      </c>
      <c r="G9" s="669">
        <f>G7+G8</f>
        <v>100</v>
      </c>
      <c r="H9" s="669"/>
    </row>
    <row r="10" spans="1:9" x14ac:dyDescent="0.25">
      <c r="A10" s="659" t="s">
        <v>177</v>
      </c>
      <c r="B10" s="122">
        <f>D10*G7%</f>
        <v>69120</v>
      </c>
      <c r="C10" s="122">
        <f>D10*G8%</f>
        <v>17280</v>
      </c>
      <c r="D10" s="126">
        <f>72*100*12</f>
        <v>86400</v>
      </c>
      <c r="G10" s="669"/>
      <c r="H10" s="669"/>
    </row>
    <row r="11" spans="1:9" x14ac:dyDescent="0.25">
      <c r="A11" s="659" t="s">
        <v>176</v>
      </c>
      <c r="B11" s="122">
        <f>D11*G7%</f>
        <v>1920</v>
      </c>
      <c r="C11" s="122">
        <f>D11*G8%</f>
        <v>480</v>
      </c>
      <c r="D11" s="126">
        <f>2*100*12</f>
        <v>2400</v>
      </c>
      <c r="G11" s="669"/>
      <c r="H11" s="669"/>
    </row>
    <row r="12" spans="1:9" ht="22.5" customHeight="1" x14ac:dyDescent="0.25">
      <c r="A12" s="524" t="s">
        <v>828</v>
      </c>
      <c r="B12" s="116">
        <f>B9</f>
        <v>71040</v>
      </c>
      <c r="C12" s="116">
        <f>C9</f>
        <v>17760</v>
      </c>
      <c r="D12" s="116">
        <f>D9</f>
        <v>88800</v>
      </c>
    </row>
    <row r="14" spans="1:9" ht="36" x14ac:dyDescent="0.55000000000000004">
      <c r="H14" s="670"/>
      <c r="I14" s="670"/>
    </row>
    <row r="15" spans="1:9" ht="36" x14ac:dyDescent="0.55000000000000004">
      <c r="A15" s="666"/>
      <c r="B15" s="667"/>
      <c r="C15" s="667"/>
      <c r="D15" s="668"/>
      <c r="H15" s="670"/>
      <c r="I15" s="670"/>
    </row>
    <row r="16" spans="1:9" ht="36" x14ac:dyDescent="0.55000000000000004">
      <c r="A16" s="64" t="s">
        <v>824</v>
      </c>
      <c r="B16" s="64"/>
      <c r="C16" s="509" t="s">
        <v>825</v>
      </c>
      <c r="E16" s="68"/>
      <c r="H16" s="670"/>
      <c r="I16" s="670"/>
    </row>
    <row r="17" spans="1:9" ht="19.5" customHeight="1" x14ac:dyDescent="0.55000000000000004">
      <c r="A17" s="64"/>
      <c r="B17" s="64"/>
      <c r="C17" s="509"/>
      <c r="E17" s="68"/>
      <c r="H17" s="670"/>
      <c r="I17" s="670"/>
    </row>
    <row r="18" spans="1:9" ht="30" customHeight="1" x14ac:dyDescent="0.55000000000000004">
      <c r="A18" s="68"/>
      <c r="B18" s="68"/>
      <c r="C18" s="68"/>
      <c r="E18" s="68"/>
      <c r="H18" s="670"/>
      <c r="I18" s="670"/>
    </row>
    <row r="19" spans="1:9" ht="36" x14ac:dyDescent="0.55000000000000004">
      <c r="A19" s="64" t="s">
        <v>99</v>
      </c>
      <c r="B19" s="64"/>
      <c r="C19" s="64" t="s">
        <v>897</v>
      </c>
      <c r="E19" s="68"/>
      <c r="H19" s="670"/>
      <c r="I19" s="670"/>
    </row>
    <row r="20" spans="1:9" ht="36" x14ac:dyDescent="0.55000000000000004">
      <c r="D20" s="629"/>
      <c r="H20" s="670"/>
      <c r="I20" s="670"/>
    </row>
    <row r="21" spans="1:9" ht="36" x14ac:dyDescent="0.55000000000000004">
      <c r="H21" s="670"/>
      <c r="I21" s="670"/>
    </row>
  </sheetData>
  <mergeCells count="4">
    <mergeCell ref="A3:D3"/>
    <mergeCell ref="A6:A8"/>
    <mergeCell ref="B7:D7"/>
    <mergeCell ref="B6:D6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86"/>
  <sheetViews>
    <sheetView topLeftCell="B62" workbookViewId="0">
      <selection activeCell="E72" sqref="E72:J88"/>
    </sheetView>
  </sheetViews>
  <sheetFormatPr defaultRowHeight="15" x14ac:dyDescent="0.25"/>
  <cols>
    <col min="1" max="1" width="35.85546875" style="68" customWidth="1"/>
    <col min="2" max="2" width="11.42578125" style="68" bestFit="1" customWidth="1"/>
    <col min="3" max="3" width="11.140625" style="68" customWidth="1"/>
    <col min="4" max="4" width="8.140625" style="68" customWidth="1"/>
    <col min="5" max="5" width="13.28515625" style="68" customWidth="1"/>
    <col min="6" max="6" width="9.42578125" style="68" customWidth="1"/>
    <col min="7" max="7" width="10.85546875" customWidth="1"/>
    <col min="8" max="8" width="12.28515625" customWidth="1"/>
    <col min="9" max="9" width="11.7109375" customWidth="1"/>
    <col min="10" max="10" width="11.85546875" customWidth="1"/>
    <col min="11" max="12" width="9.5703125" customWidth="1"/>
    <col min="14" max="14" width="4.5703125" customWidth="1"/>
    <col min="15" max="15" width="7.42578125" customWidth="1"/>
    <col min="16" max="16" width="7.140625" customWidth="1"/>
    <col min="17" max="17" width="7.42578125" customWidth="1"/>
  </cols>
  <sheetData>
    <row r="3" spans="1:21" ht="45.2" customHeight="1" x14ac:dyDescent="0.25">
      <c r="A3" s="861" t="s">
        <v>483</v>
      </c>
      <c r="B3" s="861"/>
      <c r="C3" s="861"/>
      <c r="D3" s="861"/>
      <c r="E3" s="861"/>
      <c r="F3" s="861"/>
    </row>
    <row r="4" spans="1:21" x14ac:dyDescent="0.25">
      <c r="B4" s="172"/>
      <c r="C4" s="172"/>
      <c r="D4" s="172"/>
      <c r="E4" s="172"/>
    </row>
    <row r="5" spans="1:21" ht="56.25" customHeight="1" x14ac:dyDescent="0.25">
      <c r="A5" s="872" t="s">
        <v>826</v>
      </c>
      <c r="B5" s="872" t="s">
        <v>699</v>
      </c>
      <c r="C5" s="867" t="s">
        <v>898</v>
      </c>
      <c r="D5" s="868"/>
      <c r="E5" s="868"/>
      <c r="F5" s="869"/>
      <c r="H5" s="891" t="s">
        <v>101</v>
      </c>
      <c r="I5" s="891"/>
      <c r="J5" s="891"/>
      <c r="K5" s="891"/>
      <c r="L5" s="891"/>
      <c r="M5" s="891"/>
      <c r="O5" s="892" t="s">
        <v>100</v>
      </c>
      <c r="P5" s="893"/>
      <c r="Q5" s="893"/>
      <c r="R5" s="893"/>
      <c r="S5" s="893"/>
      <c r="T5" s="893"/>
      <c r="U5" s="894"/>
    </row>
    <row r="6" spans="1:21" ht="12.75" customHeight="1" x14ac:dyDescent="0.25">
      <c r="A6" s="873"/>
      <c r="B6" s="873"/>
      <c r="C6" s="901" t="s">
        <v>605</v>
      </c>
      <c r="D6" s="903" t="s">
        <v>606</v>
      </c>
      <c r="E6" s="904"/>
      <c r="F6" s="905"/>
      <c r="H6" s="888" t="s">
        <v>691</v>
      </c>
      <c r="I6" s="891" t="s">
        <v>866</v>
      </c>
      <c r="J6" s="891" t="s">
        <v>867</v>
      </c>
      <c r="K6" s="507" t="s">
        <v>96</v>
      </c>
      <c r="L6" s="507" t="s">
        <v>97</v>
      </c>
      <c r="M6" s="507" t="s">
        <v>854</v>
      </c>
      <c r="O6" s="888" t="s">
        <v>691</v>
      </c>
      <c r="P6" s="895" t="s">
        <v>692</v>
      </c>
      <c r="Q6" s="895" t="s">
        <v>693</v>
      </c>
      <c r="R6" s="210" t="s">
        <v>96</v>
      </c>
      <c r="S6" s="898" t="s">
        <v>97</v>
      </c>
      <c r="T6" s="899"/>
      <c r="U6" s="210" t="s">
        <v>854</v>
      </c>
    </row>
    <row r="7" spans="1:21" ht="14.25" customHeight="1" x14ac:dyDescent="0.25">
      <c r="A7" s="874"/>
      <c r="B7" s="874"/>
      <c r="C7" s="902"/>
      <c r="D7" s="583">
        <v>401102</v>
      </c>
      <c r="E7" s="583">
        <v>401202</v>
      </c>
      <c r="F7" s="583" t="s">
        <v>854</v>
      </c>
      <c r="H7" s="889"/>
      <c r="I7" s="891"/>
      <c r="J7" s="891"/>
      <c r="K7" s="578"/>
      <c r="L7" s="579"/>
      <c r="M7" s="580"/>
      <c r="O7" s="889"/>
      <c r="P7" s="896"/>
      <c r="Q7" s="896"/>
      <c r="R7" s="581"/>
      <c r="S7" s="583">
        <v>401102</v>
      </c>
      <c r="T7" s="583">
        <v>401202</v>
      </c>
      <c r="U7" s="582"/>
    </row>
    <row r="8" spans="1:21" ht="36.75" customHeight="1" x14ac:dyDescent="0.25">
      <c r="A8" s="637" t="s">
        <v>596</v>
      </c>
      <c r="B8" s="170">
        <f>B9+B16</f>
        <v>60800.85</v>
      </c>
      <c r="C8" s="171">
        <f>C9+C16</f>
        <v>30204.85</v>
      </c>
      <c r="D8" s="171">
        <f>D9+D16</f>
        <v>24476.799999999999</v>
      </c>
      <c r="E8" s="171">
        <f>E9+E16</f>
        <v>6119.2</v>
      </c>
      <c r="F8" s="171">
        <f>F9+F16</f>
        <v>30596</v>
      </c>
      <c r="H8" s="890"/>
      <c r="I8" s="900"/>
      <c r="J8" s="900"/>
      <c r="K8" s="867" t="s">
        <v>103</v>
      </c>
      <c r="L8" s="868"/>
      <c r="M8" s="869"/>
      <c r="O8" s="890"/>
      <c r="P8" s="897"/>
      <c r="Q8" s="897"/>
      <c r="R8" s="867" t="s">
        <v>98</v>
      </c>
      <c r="S8" s="868"/>
      <c r="T8" s="868"/>
      <c r="U8" s="869"/>
    </row>
    <row r="9" spans="1:21" ht="14.25" customHeight="1" x14ac:dyDescent="0.25">
      <c r="A9" s="173" t="s">
        <v>879</v>
      </c>
      <c r="B9" s="170">
        <f t="shared" ref="B9:B46" si="0">C9+F9</f>
        <v>48710.400000000001</v>
      </c>
      <c r="C9" s="171">
        <f>C10+C11+C12+C13+C14+C15</f>
        <v>18114.400000000001</v>
      </c>
      <c r="D9" s="171">
        <f>D10</f>
        <v>24476.799999999999</v>
      </c>
      <c r="E9" s="171">
        <f>E10</f>
        <v>6119.2</v>
      </c>
      <c r="F9" s="171">
        <f>F10+F11+F12+F13+F14+F15</f>
        <v>30596</v>
      </c>
      <c r="H9" s="138">
        <v>15</v>
      </c>
      <c r="I9" s="124">
        <v>5013670.8600000003</v>
      </c>
      <c r="J9" s="423">
        <f>I9/I14*100</f>
        <v>67.010000000000005</v>
      </c>
      <c r="K9" s="423">
        <f>K14*J9%</f>
        <v>884.53</v>
      </c>
      <c r="L9" s="508">
        <f>4000*67%</f>
        <v>2680</v>
      </c>
      <c r="M9" s="423">
        <f t="shared" ref="M9:M14" si="1">K9+L9</f>
        <v>3564.53</v>
      </c>
      <c r="O9" s="109">
        <v>15</v>
      </c>
      <c r="P9" s="109">
        <v>11</v>
      </c>
      <c r="Q9" s="84">
        <f>236</f>
        <v>236</v>
      </c>
      <c r="R9" s="423">
        <f>P9*Q9-U17</f>
        <v>224.2</v>
      </c>
      <c r="S9" s="423">
        <f>U17*80%</f>
        <v>1897.44</v>
      </c>
      <c r="T9">
        <f>U17*20%</f>
        <v>474.36</v>
      </c>
      <c r="U9" s="423">
        <f>R9+S9+T9</f>
        <v>2596</v>
      </c>
    </row>
    <row r="10" spans="1:21" ht="14.25" customHeight="1" x14ac:dyDescent="0.25">
      <c r="A10" s="175" t="s">
        <v>880</v>
      </c>
      <c r="B10" s="513">
        <f t="shared" si="0"/>
        <v>33488.400000000001</v>
      </c>
      <c r="C10" s="190">
        <f>R9*6+R9*1.15*6+0.22</f>
        <v>2892.4</v>
      </c>
      <c r="D10" s="190">
        <f>F10/I19*I17</f>
        <v>24476.799999999999</v>
      </c>
      <c r="E10" s="190">
        <f>F10/I19*I18</f>
        <v>6119.2</v>
      </c>
      <c r="F10" s="190">
        <f>U17*6+U17*1.15*6-0.22</f>
        <v>30596</v>
      </c>
      <c r="H10" s="443">
        <v>10</v>
      </c>
      <c r="I10" s="423">
        <v>1160000</v>
      </c>
      <c r="J10" s="423">
        <f>I10/I14*100</f>
        <v>15.5</v>
      </c>
      <c r="K10" s="423">
        <f>K14*J10%</f>
        <v>204.6</v>
      </c>
      <c r="L10" s="124"/>
      <c r="M10" s="423">
        <f t="shared" si="1"/>
        <v>204.6</v>
      </c>
      <c r="O10" s="110">
        <v>10</v>
      </c>
      <c r="P10" s="111">
        <v>1</v>
      </c>
      <c r="Q10" s="84">
        <f>236</f>
        <v>236</v>
      </c>
      <c r="R10" s="423">
        <f>Q10</f>
        <v>236</v>
      </c>
      <c r="S10" s="423"/>
      <c r="T10" s="124"/>
      <c r="U10" s="423">
        <f>R10+T10</f>
        <v>236</v>
      </c>
    </row>
    <row r="11" spans="1:21" ht="14.25" customHeight="1" x14ac:dyDescent="0.25">
      <c r="A11" s="175" t="s">
        <v>881</v>
      </c>
      <c r="B11" s="513">
        <f t="shared" si="0"/>
        <v>3044.4</v>
      </c>
      <c r="C11" s="190">
        <f>R13*6+R13*1.15*6</f>
        <v>3044.4</v>
      </c>
      <c r="D11" s="190"/>
      <c r="E11" s="190"/>
      <c r="F11" s="190"/>
      <c r="H11" s="138">
        <v>14</v>
      </c>
      <c r="I11" s="423">
        <v>116585.8</v>
      </c>
      <c r="J11" s="423">
        <f>I11/I14*100</f>
        <v>1.56</v>
      </c>
      <c r="K11" s="423">
        <f>K14*J11%</f>
        <v>20.59</v>
      </c>
      <c r="L11" s="124"/>
      <c r="M11" s="423">
        <f t="shared" si="1"/>
        <v>20.59</v>
      </c>
      <c r="O11" s="112">
        <v>5</v>
      </c>
      <c r="P11" s="112">
        <v>1</v>
      </c>
      <c r="Q11" s="84">
        <f>236</f>
        <v>236</v>
      </c>
      <c r="R11" s="423">
        <f>Q11</f>
        <v>236</v>
      </c>
      <c r="S11" s="423"/>
      <c r="T11" s="124"/>
      <c r="U11" s="423">
        <f>R11+T11</f>
        <v>236</v>
      </c>
    </row>
    <row r="12" spans="1:21" x14ac:dyDescent="0.25">
      <c r="A12" s="175" t="s">
        <v>882</v>
      </c>
      <c r="B12" s="513">
        <f t="shared" si="0"/>
        <v>3044.4</v>
      </c>
      <c r="C12" s="190">
        <f>R12*6+R12*1.15*6</f>
        <v>3044.4</v>
      </c>
      <c r="D12" s="190"/>
      <c r="E12" s="190"/>
      <c r="F12" s="190"/>
      <c r="H12" s="138">
        <v>17</v>
      </c>
      <c r="I12" s="423">
        <v>7000</v>
      </c>
      <c r="J12" s="423">
        <f>I12/I14*100</f>
        <v>0.09</v>
      </c>
      <c r="K12" s="423">
        <f>K14*J12%</f>
        <v>1.19</v>
      </c>
      <c r="L12" s="124"/>
      <c r="M12" s="423">
        <f t="shared" si="1"/>
        <v>1.19</v>
      </c>
      <c r="O12" s="112">
        <v>11</v>
      </c>
      <c r="P12" s="112">
        <v>1</v>
      </c>
      <c r="Q12" s="84">
        <f>236</f>
        <v>236</v>
      </c>
      <c r="R12" s="423">
        <f>Q12</f>
        <v>236</v>
      </c>
      <c r="S12" s="423"/>
      <c r="T12" s="124"/>
      <c r="U12" s="423">
        <f>R12+T12</f>
        <v>236</v>
      </c>
    </row>
    <row r="13" spans="1:21" ht="14.25" customHeight="1" x14ac:dyDescent="0.25">
      <c r="A13" s="175" t="s">
        <v>883</v>
      </c>
      <c r="B13" s="513">
        <f t="shared" si="0"/>
        <v>3044.4</v>
      </c>
      <c r="C13" s="190">
        <f>R10*6+R10*1.15*6</f>
        <v>3044.4</v>
      </c>
      <c r="D13" s="190"/>
      <c r="E13" s="190"/>
      <c r="F13" s="190"/>
      <c r="H13" s="165">
        <v>11</v>
      </c>
      <c r="I13" s="423">
        <v>1185112.5</v>
      </c>
      <c r="J13" s="423">
        <f>I13/I14*100</f>
        <v>15.84</v>
      </c>
      <c r="K13" s="423">
        <f>K14*J13%</f>
        <v>209.09</v>
      </c>
      <c r="L13" s="124"/>
      <c r="M13" s="423">
        <f t="shared" si="1"/>
        <v>209.09</v>
      </c>
      <c r="O13" s="112">
        <v>8</v>
      </c>
      <c r="P13" s="112">
        <v>1</v>
      </c>
      <c r="Q13" s="84">
        <f>236</f>
        <v>236</v>
      </c>
      <c r="R13" s="423">
        <f>Q13</f>
        <v>236</v>
      </c>
      <c r="S13" s="423"/>
      <c r="T13" s="124"/>
      <c r="U13" s="423">
        <f>R13+T13</f>
        <v>236</v>
      </c>
    </row>
    <row r="14" spans="1:21" x14ac:dyDescent="0.25">
      <c r="A14" s="175" t="s">
        <v>884</v>
      </c>
      <c r="B14" s="513">
        <f t="shared" si="0"/>
        <v>3044.4</v>
      </c>
      <c r="C14" s="190">
        <f>R11*6+R11*1.15*6</f>
        <v>3044.4</v>
      </c>
      <c r="D14" s="190"/>
      <c r="E14" s="190"/>
      <c r="F14" s="190"/>
      <c r="H14" s="124" t="s">
        <v>820</v>
      </c>
      <c r="I14" s="124">
        <f>SUM(I9:I13)</f>
        <v>7482369.1600000001</v>
      </c>
      <c r="J14" s="142">
        <f>SUM(J9:J13)</f>
        <v>100</v>
      </c>
      <c r="K14" s="142">
        <f>4000*33%</f>
        <v>1320</v>
      </c>
      <c r="L14" s="142">
        <f>4000*67%</f>
        <v>2680</v>
      </c>
      <c r="M14" s="142">
        <f t="shared" si="1"/>
        <v>4000</v>
      </c>
      <c r="O14" s="191" t="s">
        <v>694</v>
      </c>
      <c r="P14" s="113">
        <v>1</v>
      </c>
      <c r="Q14" s="84">
        <f>236</f>
        <v>236</v>
      </c>
      <c r="R14" s="423">
        <f>Q14</f>
        <v>236</v>
      </c>
      <c r="S14" s="423"/>
      <c r="T14" s="124"/>
      <c r="U14" s="423">
        <f>R14+T14</f>
        <v>236</v>
      </c>
    </row>
    <row r="15" spans="1:21" x14ac:dyDescent="0.25">
      <c r="A15" s="175" t="s">
        <v>718</v>
      </c>
      <c r="B15" s="513">
        <f t="shared" si="0"/>
        <v>3044.4</v>
      </c>
      <c r="C15" s="190">
        <f>236*6+236*1.15*6</f>
        <v>3044.4</v>
      </c>
      <c r="D15" s="190"/>
      <c r="E15" s="190"/>
      <c r="F15" s="190"/>
      <c r="O15" s="429"/>
      <c r="P15" s="114"/>
      <c r="Q15" s="191"/>
      <c r="R15" s="115">
        <f>R9+R10+R11+R12+R13+R14</f>
        <v>1404.2</v>
      </c>
      <c r="S15" s="115"/>
      <c r="T15" s="115">
        <f>U17+T10+T11+T12+T13+T14</f>
        <v>2371.8000000000002</v>
      </c>
      <c r="U15" s="115">
        <f>U9+U10+U11+U12+U13+U14</f>
        <v>3776</v>
      </c>
    </row>
    <row r="16" spans="1:21" ht="24.2" customHeight="1" x14ac:dyDescent="0.25">
      <c r="A16" s="177" t="s">
        <v>885</v>
      </c>
      <c r="B16" s="170">
        <f t="shared" si="0"/>
        <v>12090.45</v>
      </c>
      <c r="C16" s="171">
        <f>C17+C18+C19+C20</f>
        <v>12090.45</v>
      </c>
      <c r="D16" s="171">
        <v>0</v>
      </c>
      <c r="E16" s="171">
        <v>0</v>
      </c>
      <c r="F16" s="171">
        <f>F17+F18+F19+F20</f>
        <v>0</v>
      </c>
    </row>
    <row r="17" spans="1:21" x14ac:dyDescent="0.25">
      <c r="A17" s="175" t="s">
        <v>880</v>
      </c>
      <c r="B17" s="512">
        <f t="shared" si="0"/>
        <v>3755.8</v>
      </c>
      <c r="C17" s="168">
        <v>3755.8</v>
      </c>
      <c r="D17" s="168"/>
      <c r="E17" s="168"/>
      <c r="F17" s="168"/>
      <c r="I17">
        <v>80</v>
      </c>
      <c r="J17" t="s">
        <v>4</v>
      </c>
      <c r="U17" s="423">
        <f>(11*236+236+236+236+236)*67%</f>
        <v>2371.8000000000002</v>
      </c>
    </row>
    <row r="18" spans="1:21" x14ac:dyDescent="0.25">
      <c r="A18" s="175" t="s">
        <v>881</v>
      </c>
      <c r="B18" s="512">
        <f t="shared" si="0"/>
        <v>4719.9399999999996</v>
      </c>
      <c r="C18" s="168">
        <v>4719.9399999999996</v>
      </c>
      <c r="D18" s="168"/>
      <c r="E18" s="168"/>
      <c r="F18" s="168"/>
      <c r="I18">
        <v>20</v>
      </c>
      <c r="J18" t="s">
        <v>5</v>
      </c>
    </row>
    <row r="19" spans="1:21" x14ac:dyDescent="0.25">
      <c r="A19" s="175" t="s">
        <v>883</v>
      </c>
      <c r="B19" s="512">
        <f t="shared" si="0"/>
        <v>1794.35</v>
      </c>
      <c r="C19" s="168">
        <v>1794.35</v>
      </c>
      <c r="D19" s="168"/>
      <c r="E19" s="168"/>
      <c r="F19" s="168"/>
      <c r="I19">
        <f>I17+I18</f>
        <v>100</v>
      </c>
    </row>
    <row r="20" spans="1:21" ht="14.25" customHeight="1" x14ac:dyDescent="0.25">
      <c r="A20" s="175" t="s">
        <v>884</v>
      </c>
      <c r="B20" s="512">
        <f t="shared" si="0"/>
        <v>1820.36</v>
      </c>
      <c r="C20" s="168">
        <f>455.09*4</f>
        <v>1820.36</v>
      </c>
      <c r="D20" s="168"/>
      <c r="E20" s="168"/>
      <c r="F20" s="168"/>
    </row>
    <row r="21" spans="1:21" ht="49.5" customHeight="1" x14ac:dyDescent="0.25">
      <c r="A21" s="83" t="s">
        <v>622</v>
      </c>
      <c r="B21" s="170">
        <f t="shared" si="0"/>
        <v>3400</v>
      </c>
      <c r="C21" s="171">
        <f>C22</f>
        <v>1252</v>
      </c>
      <c r="D21" s="171">
        <f>D22</f>
        <v>1718.4</v>
      </c>
      <c r="E21" s="171">
        <f>E22</f>
        <v>429.6</v>
      </c>
      <c r="F21" s="171">
        <f>3400-C21</f>
        <v>2148</v>
      </c>
      <c r="I21" s="76"/>
    </row>
    <row r="22" spans="1:21" x14ac:dyDescent="0.25">
      <c r="A22" s="178" t="s">
        <v>880</v>
      </c>
      <c r="B22" s="198">
        <f t="shared" si="0"/>
        <v>3400</v>
      </c>
      <c r="C22" s="198">
        <f>1252</f>
        <v>1252</v>
      </c>
      <c r="D22" s="198">
        <f>F22/I19*I17</f>
        <v>1718.4</v>
      </c>
      <c r="E22" s="198">
        <f>F22/I19*I18</f>
        <v>429.6</v>
      </c>
      <c r="F22" s="510">
        <v>2148</v>
      </c>
    </row>
    <row r="23" spans="1:21" ht="49.5" customHeight="1" x14ac:dyDescent="0.25">
      <c r="A23" s="83" t="s">
        <v>608</v>
      </c>
      <c r="B23" s="170">
        <f t="shared" si="0"/>
        <v>48000</v>
      </c>
      <c r="C23" s="171">
        <f>C24+C25+C26+C27+C28</f>
        <v>15840</v>
      </c>
      <c r="D23" s="171">
        <f>D24</f>
        <v>25728</v>
      </c>
      <c r="E23" s="171">
        <f>E24</f>
        <v>6432</v>
      </c>
      <c r="F23" s="171">
        <f>F24</f>
        <v>32160</v>
      </c>
      <c r="G23" s="76"/>
    </row>
    <row r="24" spans="1:21" x14ac:dyDescent="0.25">
      <c r="A24" s="175" t="s">
        <v>880</v>
      </c>
      <c r="B24" s="512">
        <f t="shared" si="0"/>
        <v>42774.36</v>
      </c>
      <c r="C24" s="168">
        <f>K9*12</f>
        <v>10614.36</v>
      </c>
      <c r="D24" s="168">
        <f>F24/I19*I17</f>
        <v>25728</v>
      </c>
      <c r="E24" s="168">
        <f>F24/I19*I18</f>
        <v>6432</v>
      </c>
      <c r="F24" s="168">
        <f>4000*67%*12</f>
        <v>32160</v>
      </c>
      <c r="I24" s="76"/>
      <c r="J24" s="75"/>
      <c r="K24" s="75"/>
      <c r="L24" s="75"/>
    </row>
    <row r="25" spans="1:21" x14ac:dyDescent="0.25">
      <c r="A25" s="175" t="s">
        <v>882</v>
      </c>
      <c r="B25" s="512">
        <f t="shared" si="0"/>
        <v>2509.08</v>
      </c>
      <c r="C25" s="168">
        <f>K13*12</f>
        <v>2509.08</v>
      </c>
      <c r="D25" s="168"/>
      <c r="E25" s="168"/>
      <c r="F25" s="168"/>
      <c r="J25" s="75"/>
      <c r="K25" s="75"/>
      <c r="L25" s="75"/>
    </row>
    <row r="26" spans="1:21" x14ac:dyDescent="0.25">
      <c r="A26" s="175" t="s">
        <v>883</v>
      </c>
      <c r="B26" s="512">
        <f t="shared" si="0"/>
        <v>2455.1999999999998</v>
      </c>
      <c r="C26" s="168">
        <f>K10*12</f>
        <v>2455.1999999999998</v>
      </c>
      <c r="D26" s="168"/>
      <c r="E26" s="168"/>
      <c r="F26" s="168"/>
      <c r="J26" s="75"/>
      <c r="K26" s="638"/>
      <c r="L26" s="75"/>
    </row>
    <row r="27" spans="1:21" x14ac:dyDescent="0.25">
      <c r="A27" s="175" t="s">
        <v>886</v>
      </c>
      <c r="B27" s="512">
        <f t="shared" si="0"/>
        <v>14.28</v>
      </c>
      <c r="C27" s="168">
        <f>K12*12</f>
        <v>14.28</v>
      </c>
      <c r="D27" s="168"/>
      <c r="E27" s="168"/>
      <c r="F27" s="168"/>
      <c r="J27" s="75"/>
      <c r="K27" s="638"/>
      <c r="L27" s="75"/>
    </row>
    <row r="28" spans="1:21" x14ac:dyDescent="0.25">
      <c r="A28" s="175" t="s">
        <v>887</v>
      </c>
      <c r="B28" s="512">
        <f t="shared" si="0"/>
        <v>247.08</v>
      </c>
      <c r="C28" s="168">
        <f>K11*12</f>
        <v>247.08</v>
      </c>
      <c r="D28" s="168"/>
      <c r="E28" s="168"/>
      <c r="F28" s="168"/>
      <c r="J28" s="75"/>
      <c r="K28" s="638"/>
      <c r="L28" s="639"/>
    </row>
    <row r="29" spans="1:21" ht="36.75" customHeight="1" x14ac:dyDescent="0.25">
      <c r="A29" s="83" t="s">
        <v>607</v>
      </c>
      <c r="B29" s="170">
        <f t="shared" si="0"/>
        <v>29940</v>
      </c>
      <c r="C29" s="171">
        <f>C30</f>
        <v>13200</v>
      </c>
      <c r="D29" s="171">
        <f>D30</f>
        <v>13392</v>
      </c>
      <c r="E29" s="171">
        <f>E30</f>
        <v>3348</v>
      </c>
      <c r="F29" s="171">
        <f>F30</f>
        <v>16740</v>
      </c>
      <c r="J29" s="75"/>
      <c r="K29" s="638"/>
      <c r="L29" s="75"/>
    </row>
    <row r="30" spans="1:21" ht="23.25" x14ac:dyDescent="0.25">
      <c r="A30" s="175" t="s">
        <v>418</v>
      </c>
      <c r="B30" s="513">
        <f t="shared" si="0"/>
        <v>29940</v>
      </c>
      <c r="C30" s="190">
        <f>1100*12</f>
        <v>13200</v>
      </c>
      <c r="D30" s="190">
        <f>F30/I19*I17</f>
        <v>13392</v>
      </c>
      <c r="E30" s="190">
        <f>F30/I19*I18</f>
        <v>3348</v>
      </c>
      <c r="F30" s="514">
        <f>(2495-1100)*12</f>
        <v>16740</v>
      </c>
      <c r="J30" s="75"/>
      <c r="K30" s="638"/>
      <c r="L30" s="75"/>
    </row>
    <row r="31" spans="1:21" ht="24.75" customHeight="1" x14ac:dyDescent="0.25">
      <c r="A31" s="653" t="s">
        <v>621</v>
      </c>
      <c r="B31" s="170">
        <f t="shared" si="0"/>
        <v>12500</v>
      </c>
      <c r="C31" s="171">
        <f>C32+C33+C34</f>
        <v>12500</v>
      </c>
      <c r="D31" s="171"/>
      <c r="E31" s="171"/>
      <c r="F31" s="179">
        <v>0</v>
      </c>
      <c r="J31" s="75"/>
      <c r="K31" s="638"/>
      <c r="L31" s="75"/>
    </row>
    <row r="32" spans="1:21" x14ac:dyDescent="0.25">
      <c r="A32" s="175" t="s">
        <v>884</v>
      </c>
      <c r="B32" s="512">
        <f t="shared" si="0"/>
        <v>1200</v>
      </c>
      <c r="C32" s="168">
        <f>300*4</f>
        <v>1200</v>
      </c>
      <c r="D32" s="168"/>
      <c r="E32" s="168"/>
      <c r="F32" s="168"/>
    </row>
    <row r="33" spans="1:6" x14ac:dyDescent="0.25">
      <c r="A33" s="175" t="s">
        <v>882</v>
      </c>
      <c r="B33" s="512">
        <f t="shared" si="0"/>
        <v>3600</v>
      </c>
      <c r="C33" s="168">
        <f>3600</f>
        <v>3600</v>
      </c>
      <c r="D33" s="168"/>
      <c r="E33" s="168"/>
      <c r="F33" s="168"/>
    </row>
    <row r="34" spans="1:6" x14ac:dyDescent="0.25">
      <c r="A34" s="175" t="s">
        <v>880</v>
      </c>
      <c r="B34" s="512">
        <f t="shared" si="0"/>
        <v>7700</v>
      </c>
      <c r="C34" s="168">
        <f>7700</f>
        <v>7700</v>
      </c>
      <c r="D34" s="168"/>
      <c r="E34" s="168"/>
      <c r="F34" s="168"/>
    </row>
    <row r="35" spans="1:6" ht="39" x14ac:dyDescent="0.25">
      <c r="A35" s="637" t="s">
        <v>619</v>
      </c>
      <c r="B35" s="170">
        <f t="shared" si="0"/>
        <v>10389.52</v>
      </c>
      <c r="C35" s="171">
        <f>C38</f>
        <v>10389.52</v>
      </c>
      <c r="D35" s="171"/>
      <c r="E35" s="171"/>
      <c r="F35" s="171">
        <v>0</v>
      </c>
    </row>
    <row r="36" spans="1:6" x14ac:dyDescent="0.25">
      <c r="A36" s="511" t="s">
        <v>879</v>
      </c>
      <c r="B36" s="512">
        <f t="shared" si="0"/>
        <v>3044.4</v>
      </c>
      <c r="C36" s="169">
        <f>236*6+236*1.15*6</f>
        <v>3044.4</v>
      </c>
      <c r="D36" s="169"/>
      <c r="E36" s="169"/>
      <c r="F36" s="179"/>
    </row>
    <row r="37" spans="1:6" ht="26.25" x14ac:dyDescent="0.25">
      <c r="A37" s="511" t="s">
        <v>102</v>
      </c>
      <c r="B37" s="512">
        <f t="shared" si="0"/>
        <v>7345.12</v>
      </c>
      <c r="C37" s="169">
        <f>10389.52-C36</f>
        <v>7345.12</v>
      </c>
      <c r="D37" s="169"/>
      <c r="E37" s="169"/>
      <c r="F37" s="179"/>
    </row>
    <row r="38" spans="1:6" x14ac:dyDescent="0.25">
      <c r="A38" s="175" t="s">
        <v>889</v>
      </c>
      <c r="B38" s="512">
        <f t="shared" si="0"/>
        <v>10389.52</v>
      </c>
      <c r="C38" s="168">
        <f>C36+C37</f>
        <v>10389.52</v>
      </c>
      <c r="D38" s="168"/>
      <c r="E38" s="168"/>
      <c r="F38" s="168"/>
    </row>
    <row r="39" spans="1:6" ht="38.25" customHeight="1" x14ac:dyDescent="0.25">
      <c r="A39" s="637" t="s">
        <v>620</v>
      </c>
      <c r="B39" s="170">
        <f t="shared" si="0"/>
        <v>3225</v>
      </c>
      <c r="C39" s="171">
        <f>C40</f>
        <v>3225</v>
      </c>
      <c r="D39" s="171"/>
      <c r="E39" s="171"/>
      <c r="F39" s="179">
        <v>0</v>
      </c>
    </row>
    <row r="40" spans="1:6" x14ac:dyDescent="0.25">
      <c r="A40" s="175" t="s">
        <v>889</v>
      </c>
      <c r="B40" s="512">
        <f t="shared" si="0"/>
        <v>3225</v>
      </c>
      <c r="C40" s="168">
        <v>3225</v>
      </c>
      <c r="D40" s="168"/>
      <c r="E40" s="168"/>
      <c r="F40" s="168"/>
    </row>
    <row r="41" spans="1:6" ht="51.75" x14ac:dyDescent="0.25">
      <c r="A41" s="652" t="s">
        <v>6</v>
      </c>
      <c r="B41" s="170">
        <f t="shared" si="0"/>
        <v>5902.34</v>
      </c>
      <c r="C41" s="171">
        <f>C42</f>
        <v>5902.34</v>
      </c>
      <c r="D41" s="171"/>
      <c r="E41" s="171"/>
      <c r="F41" s="179">
        <v>0</v>
      </c>
    </row>
    <row r="42" spans="1:6" x14ac:dyDescent="0.25">
      <c r="A42" s="175" t="s">
        <v>880</v>
      </c>
      <c r="B42" s="176">
        <f t="shared" si="0"/>
        <v>5902.34</v>
      </c>
      <c r="C42" s="168">
        <f>4402.34+1500</f>
        <v>5902.34</v>
      </c>
      <c r="D42" s="168"/>
      <c r="E42" s="168"/>
      <c r="F42" s="168"/>
    </row>
    <row r="43" spans="1:6" ht="26.25" x14ac:dyDescent="0.25">
      <c r="A43" s="652" t="s">
        <v>895</v>
      </c>
      <c r="B43" s="170">
        <f t="shared" si="0"/>
        <v>1500</v>
      </c>
      <c r="C43" s="171">
        <f>C44</f>
        <v>1500</v>
      </c>
      <c r="D43" s="171"/>
      <c r="E43" s="171"/>
      <c r="F43" s="179">
        <v>0</v>
      </c>
    </row>
    <row r="44" spans="1:6" x14ac:dyDescent="0.25">
      <c r="A44" s="175" t="s">
        <v>880</v>
      </c>
      <c r="B44" s="512">
        <f t="shared" si="0"/>
        <v>1500</v>
      </c>
      <c r="C44" s="168">
        <f>1500</f>
        <v>1500</v>
      </c>
      <c r="D44" s="168"/>
      <c r="E44" s="168"/>
      <c r="F44" s="168"/>
    </row>
    <row r="45" spans="1:6" x14ac:dyDescent="0.25">
      <c r="A45" s="652" t="s">
        <v>896</v>
      </c>
      <c r="B45" s="170">
        <f t="shared" si="0"/>
        <v>600</v>
      </c>
      <c r="C45" s="118">
        <f>C46</f>
        <v>600</v>
      </c>
      <c r="D45" s="118"/>
      <c r="E45" s="118"/>
      <c r="F45" s="179"/>
    </row>
    <row r="46" spans="1:6" x14ac:dyDescent="0.25">
      <c r="A46" s="175" t="s">
        <v>880</v>
      </c>
      <c r="B46" s="512">
        <f t="shared" si="0"/>
        <v>600</v>
      </c>
      <c r="C46" s="168">
        <v>600</v>
      </c>
      <c r="D46" s="168"/>
      <c r="E46" s="168"/>
      <c r="F46" s="168"/>
    </row>
    <row r="47" spans="1:6" x14ac:dyDescent="0.25">
      <c r="A47" s="167" t="s">
        <v>828</v>
      </c>
      <c r="B47" s="170">
        <f>B8+B21+B23+B29+B31+B35+B39+B41+B43+B45</f>
        <v>176257.71</v>
      </c>
      <c r="C47" s="170">
        <f>C8+C21+C23+C29+C31+C35+C39+C41+C43+C45</f>
        <v>94613.71</v>
      </c>
      <c r="D47" s="171">
        <f>D8+D21+D23+D29</f>
        <v>65315.199999999997</v>
      </c>
      <c r="E47" s="171">
        <f>E8+E21+E23+E29</f>
        <v>16328.8</v>
      </c>
      <c r="F47" s="171">
        <f>F8+F21+F23+F29</f>
        <v>81644</v>
      </c>
    </row>
    <row r="48" spans="1:6" x14ac:dyDescent="0.25">
      <c r="A48" s="180"/>
      <c r="B48" s="181"/>
      <c r="C48" s="182"/>
      <c r="D48" s="182"/>
      <c r="E48" s="182"/>
      <c r="F48" s="158"/>
    </row>
    <row r="50" spans="1:9" x14ac:dyDescent="0.25">
      <c r="F50" s="183"/>
      <c r="G50" s="161">
        <v>15</v>
      </c>
      <c r="H50" s="76">
        <f>C10+C15+C17+C22+C24+C30+C34+C42+C44+C46</f>
        <v>50461.3</v>
      </c>
      <c r="I50" s="76">
        <f>50461.08-H50</f>
        <v>-0.22</v>
      </c>
    </row>
    <row r="51" spans="1:9" x14ac:dyDescent="0.25">
      <c r="A51" s="64" t="s">
        <v>824</v>
      </c>
      <c r="B51" s="64"/>
      <c r="C51" s="509"/>
      <c r="D51" s="509" t="s">
        <v>825</v>
      </c>
      <c r="G51" s="161">
        <v>16</v>
      </c>
    </row>
    <row r="52" spans="1:9" x14ac:dyDescent="0.25">
      <c r="G52">
        <v>17</v>
      </c>
    </row>
    <row r="53" spans="1:9" x14ac:dyDescent="0.25">
      <c r="A53" s="64" t="s">
        <v>99</v>
      </c>
      <c r="B53" s="64"/>
      <c r="C53" s="64"/>
      <c r="D53" s="64" t="s">
        <v>897</v>
      </c>
      <c r="G53" s="161">
        <v>14</v>
      </c>
    </row>
    <row r="54" spans="1:9" x14ac:dyDescent="0.25">
      <c r="G54" s="161">
        <v>11</v>
      </c>
    </row>
    <row r="55" spans="1:9" x14ac:dyDescent="0.25">
      <c r="B55" s="183"/>
      <c r="C55" s="158">
        <f>'[3]смета от 11.01.2012'!$C$25</f>
        <v>272085.93</v>
      </c>
      <c r="D55" s="158"/>
      <c r="E55" s="158"/>
      <c r="G55">
        <v>8</v>
      </c>
      <c r="H55" s="76">
        <f>C11+C18</f>
        <v>7764.34</v>
      </c>
    </row>
    <row r="56" spans="1:9" x14ac:dyDescent="0.25">
      <c r="C56" s="183">
        <f>C55-C47</f>
        <v>177472.22</v>
      </c>
      <c r="D56" s="183"/>
      <c r="E56" s="183"/>
      <c r="G56" s="161">
        <v>5</v>
      </c>
      <c r="H56" s="162">
        <f>C14+C20+C32</f>
        <v>6064.76</v>
      </c>
    </row>
    <row r="57" spans="1:9" x14ac:dyDescent="0.25">
      <c r="G57" s="161">
        <v>10</v>
      </c>
      <c r="H57" s="162">
        <f>C13+C19+C26</f>
        <v>7293.95</v>
      </c>
    </row>
    <row r="59" spans="1:9" x14ac:dyDescent="0.25">
      <c r="B59" s="183">
        <f>B47+'222 ОБЩАЯ'!B17+'224'!C13+'225 ОБЩАЯ'!B61+'223 Общая 06.12'!B11+'226 ОБЩАЯ 06.12'!C94+'226 ОБЩАЯ 06.12'!D94+'226 ОБЩАЯ 06.12'!E94+'226 ОБЩАЯ 06.12'!F94+'290 (2)'!C11+'290 (2)'!C12+'290 (2)'!C15+'310'!C87+'340 Общая'!C60+'340 Общая'!D60+'340 Общая'!E60</f>
        <v>14385650.43</v>
      </c>
    </row>
    <row r="60" spans="1:9" x14ac:dyDescent="0.25">
      <c r="B60" s="183">
        <f>B59/1000</f>
        <v>14385.65</v>
      </c>
    </row>
    <row r="61" spans="1:9" x14ac:dyDescent="0.25">
      <c r="B61" s="183">
        <f>14310085.1</f>
        <v>14310085.1</v>
      </c>
    </row>
    <row r="62" spans="1:9" x14ac:dyDescent="0.25">
      <c r="B62" s="183">
        <f>B61-B59</f>
        <v>-75565.33</v>
      </c>
    </row>
    <row r="75" spans="5:11" x14ac:dyDescent="0.25">
      <c r="E75" s="183">
        <v>181782.54</v>
      </c>
      <c r="F75" s="754">
        <f>E75/1000</f>
        <v>182</v>
      </c>
      <c r="G75">
        <v>221</v>
      </c>
      <c r="H75" s="76">
        <f>81644+94613.71</f>
        <v>176257.71</v>
      </c>
      <c r="I75" s="780">
        <f>H75/1000</f>
        <v>176</v>
      </c>
    </row>
    <row r="76" spans="5:11" x14ac:dyDescent="0.25">
      <c r="E76" s="68">
        <v>284162.40000000002</v>
      </c>
      <c r="F76" s="754">
        <f t="shared" ref="F76:F83" si="2">E76/1000</f>
        <v>284</v>
      </c>
      <c r="G76">
        <v>222</v>
      </c>
      <c r="H76" s="76">
        <f>22922+272085.93</f>
        <v>295007.93</v>
      </c>
      <c r="I76" s="780">
        <f t="shared" ref="I76:I83" si="3">H76/1000</f>
        <v>295</v>
      </c>
    </row>
    <row r="77" spans="5:11" x14ac:dyDescent="0.25">
      <c r="E77" s="68">
        <v>6144173.1299999999</v>
      </c>
      <c r="F77" s="754">
        <f t="shared" si="2"/>
        <v>6144</v>
      </c>
      <c r="G77">
        <v>223</v>
      </c>
      <c r="H77" s="76">
        <f>1163071.66+4052145.6</f>
        <v>5215217.26</v>
      </c>
      <c r="I77" s="780">
        <f t="shared" si="3"/>
        <v>5215</v>
      </c>
    </row>
    <row r="78" spans="5:11" x14ac:dyDescent="0.25">
      <c r="E78" s="68">
        <v>511521.06</v>
      </c>
      <c r="F78" s="754">
        <f t="shared" si="2"/>
        <v>512</v>
      </c>
      <c r="G78">
        <v>224</v>
      </c>
      <c r="H78" s="76">
        <f>648365</f>
        <v>648365</v>
      </c>
      <c r="I78" s="780">
        <f t="shared" si="3"/>
        <v>648</v>
      </c>
    </row>
    <row r="79" spans="5:11" x14ac:dyDescent="0.25">
      <c r="E79" s="68">
        <v>1333795.17</v>
      </c>
      <c r="F79" s="754">
        <f t="shared" si="2"/>
        <v>1334</v>
      </c>
      <c r="G79">
        <v>225</v>
      </c>
      <c r="H79" s="76">
        <f>934882.3+115646.2</f>
        <v>1050528.5</v>
      </c>
      <c r="I79" s="780">
        <f t="shared" si="3"/>
        <v>1051</v>
      </c>
      <c r="J79" s="76"/>
      <c r="K79" s="76"/>
    </row>
    <row r="80" spans="5:11" x14ac:dyDescent="0.25">
      <c r="E80" s="68">
        <v>2693385.98</v>
      </c>
      <c r="F80" s="754">
        <f t="shared" si="2"/>
        <v>2693</v>
      </c>
      <c r="G80">
        <v>226</v>
      </c>
      <c r="H80" s="76">
        <f>2516355.22+210282.78</f>
        <v>2726638</v>
      </c>
      <c r="I80" s="780">
        <f t="shared" si="3"/>
        <v>2727</v>
      </c>
    </row>
    <row r="81" spans="5:10" x14ac:dyDescent="0.25">
      <c r="E81" s="68">
        <v>68522.97</v>
      </c>
      <c r="F81" s="754">
        <f t="shared" si="2"/>
        <v>69</v>
      </c>
      <c r="G81">
        <v>290</v>
      </c>
      <c r="H81">
        <v>53990.6</v>
      </c>
      <c r="I81" s="780">
        <f t="shared" si="3"/>
        <v>54</v>
      </c>
    </row>
    <row r="82" spans="5:10" x14ac:dyDescent="0.25">
      <c r="E82" s="68">
        <v>1929919.81</v>
      </c>
      <c r="F82" s="754">
        <f t="shared" si="2"/>
        <v>1930</v>
      </c>
      <c r="G82">
        <v>310</v>
      </c>
      <c r="H82">
        <f>879436.58</f>
        <v>879436.58</v>
      </c>
      <c r="I82" s="780">
        <f t="shared" si="3"/>
        <v>879</v>
      </c>
    </row>
    <row r="83" spans="5:10" x14ac:dyDescent="0.25">
      <c r="E83" s="68">
        <f>940924.89+3056445.07</f>
        <v>3997369.96</v>
      </c>
      <c r="F83" s="754">
        <f t="shared" si="2"/>
        <v>3997</v>
      </c>
      <c r="G83">
        <v>340</v>
      </c>
      <c r="H83">
        <f>3163447.12+124149.6</f>
        <v>3287596.72</v>
      </c>
      <c r="I83" s="780">
        <f t="shared" si="3"/>
        <v>3288</v>
      </c>
    </row>
    <row r="84" spans="5:10" x14ac:dyDescent="0.25">
      <c r="E84" s="183">
        <f>E75+E76+E77+E78+E79+E80+E81+E82+E83</f>
        <v>17144633.02</v>
      </c>
      <c r="F84" s="781">
        <f>SUM(F75:F83)</f>
        <v>17145</v>
      </c>
      <c r="H84" s="449">
        <f>H75+H76+H77+H78+H79+H80+H81+H82+H83</f>
        <v>14333038.300000001</v>
      </c>
      <c r="I84" s="449">
        <f>I75+I76+I77+I78+I79+I80+I81+I82+I83</f>
        <v>14333</v>
      </c>
    </row>
    <row r="85" spans="5:10" x14ac:dyDescent="0.25">
      <c r="F85" s="183">
        <v>17050.099999999999</v>
      </c>
      <c r="I85" s="780">
        <v>14229</v>
      </c>
    </row>
    <row r="86" spans="5:10" x14ac:dyDescent="0.25">
      <c r="F86" s="183">
        <f>F85-F84</f>
        <v>-94.9</v>
      </c>
      <c r="G86">
        <f>F86*1000</f>
        <v>-94900</v>
      </c>
      <c r="I86" s="76">
        <f>I85-I84</f>
        <v>-104</v>
      </c>
      <c r="J86">
        <f>I86*1000</f>
        <v>-104000</v>
      </c>
    </row>
  </sheetData>
  <mergeCells count="17">
    <mergeCell ref="A3:F3"/>
    <mergeCell ref="J6:J8"/>
    <mergeCell ref="I6:I8"/>
    <mergeCell ref="H6:H8"/>
    <mergeCell ref="C6:C7"/>
    <mergeCell ref="D6:F6"/>
    <mergeCell ref="C5:F5"/>
    <mergeCell ref="B5:B7"/>
    <mergeCell ref="A5:A7"/>
    <mergeCell ref="O6:O8"/>
    <mergeCell ref="H5:M5"/>
    <mergeCell ref="K8:M8"/>
    <mergeCell ref="O5:U5"/>
    <mergeCell ref="R8:U8"/>
    <mergeCell ref="Q6:Q8"/>
    <mergeCell ref="P6:P8"/>
    <mergeCell ref="S6:T6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57"/>
  <sheetViews>
    <sheetView topLeftCell="A31" workbookViewId="0">
      <selection activeCell="H5" sqref="H5:M16"/>
    </sheetView>
  </sheetViews>
  <sheetFormatPr defaultRowHeight="15" x14ac:dyDescent="0.25"/>
  <cols>
    <col min="1" max="1" width="35.85546875" style="68" customWidth="1"/>
    <col min="2" max="2" width="8.5703125" style="68" bestFit="1" customWidth="1"/>
    <col min="3" max="3" width="11.140625" style="68" customWidth="1"/>
    <col min="4" max="4" width="8.140625" style="68" customWidth="1"/>
    <col min="5" max="5" width="8.85546875" style="68" customWidth="1"/>
    <col min="6" max="6" width="7.5703125" style="68" customWidth="1"/>
    <col min="7" max="7" width="10.85546875" customWidth="1"/>
    <col min="8" max="8" width="9.140625" customWidth="1"/>
    <col min="9" max="9" width="11.7109375" customWidth="1"/>
    <col min="10" max="10" width="8.42578125" customWidth="1"/>
    <col min="11" max="12" width="9.5703125" customWidth="1"/>
    <col min="14" max="14" width="4.5703125" customWidth="1"/>
    <col min="15" max="15" width="7.42578125" customWidth="1"/>
    <col min="16" max="16" width="7.140625" customWidth="1"/>
    <col min="17" max="17" width="7.42578125" customWidth="1"/>
  </cols>
  <sheetData>
    <row r="3" spans="1:21" ht="45.2" customHeight="1" x14ac:dyDescent="0.25">
      <c r="A3" s="861" t="s">
        <v>483</v>
      </c>
      <c r="B3" s="861"/>
      <c r="C3" s="861"/>
      <c r="D3" s="861"/>
      <c r="E3" s="861"/>
      <c r="F3" s="861"/>
    </row>
    <row r="4" spans="1:21" x14ac:dyDescent="0.25">
      <c r="B4" s="172"/>
      <c r="C4" s="172"/>
      <c r="D4" s="172"/>
      <c r="E4" s="172"/>
    </row>
    <row r="5" spans="1:21" ht="56.25" customHeight="1" x14ac:dyDescent="0.25">
      <c r="A5" s="872" t="s">
        <v>826</v>
      </c>
      <c r="B5" s="872" t="s">
        <v>699</v>
      </c>
      <c r="C5" s="867" t="s">
        <v>898</v>
      </c>
      <c r="D5" s="868"/>
      <c r="E5" s="868"/>
      <c r="F5" s="869"/>
      <c r="H5" s="891" t="s">
        <v>101</v>
      </c>
      <c r="I5" s="891"/>
      <c r="J5" s="891"/>
      <c r="K5" s="891"/>
      <c r="L5" s="891"/>
      <c r="M5" s="891"/>
      <c r="O5" s="892" t="s">
        <v>100</v>
      </c>
      <c r="P5" s="893"/>
      <c r="Q5" s="893"/>
      <c r="R5" s="893"/>
      <c r="S5" s="893"/>
      <c r="T5" s="893"/>
      <c r="U5" s="894"/>
    </row>
    <row r="6" spans="1:21" ht="12.75" customHeight="1" x14ac:dyDescent="0.25">
      <c r="A6" s="873"/>
      <c r="B6" s="873"/>
      <c r="C6" s="901" t="s">
        <v>605</v>
      </c>
      <c r="D6" s="903" t="s">
        <v>606</v>
      </c>
      <c r="E6" s="904"/>
      <c r="F6" s="905"/>
      <c r="H6" s="888" t="s">
        <v>691</v>
      </c>
      <c r="I6" s="891" t="s">
        <v>866</v>
      </c>
      <c r="J6" s="891" t="s">
        <v>867</v>
      </c>
      <c r="K6" s="664" t="s">
        <v>96</v>
      </c>
      <c r="L6" s="664" t="s">
        <v>97</v>
      </c>
      <c r="M6" s="664" t="s">
        <v>854</v>
      </c>
      <c r="O6" s="888" t="s">
        <v>691</v>
      </c>
      <c r="P6" s="895" t="s">
        <v>692</v>
      </c>
      <c r="Q6" s="895" t="s">
        <v>693</v>
      </c>
      <c r="R6" s="664" t="s">
        <v>96</v>
      </c>
      <c r="S6" s="906" t="s">
        <v>97</v>
      </c>
      <c r="T6" s="907"/>
      <c r="U6" s="664" t="s">
        <v>854</v>
      </c>
    </row>
    <row r="7" spans="1:21" ht="14.25" customHeight="1" x14ac:dyDescent="0.25">
      <c r="A7" s="874"/>
      <c r="B7" s="874"/>
      <c r="C7" s="902"/>
      <c r="D7" s="583">
        <v>401102</v>
      </c>
      <c r="E7" s="583">
        <v>401202</v>
      </c>
      <c r="F7" s="583" t="s">
        <v>854</v>
      </c>
      <c r="H7" s="889"/>
      <c r="I7" s="891"/>
      <c r="J7" s="891"/>
      <c r="K7" s="701"/>
      <c r="L7" s="703"/>
      <c r="M7" s="702"/>
      <c r="O7" s="889"/>
      <c r="P7" s="896"/>
      <c r="Q7" s="896"/>
      <c r="R7" s="701"/>
      <c r="S7" s="583">
        <v>401102</v>
      </c>
      <c r="T7" s="583">
        <v>401202</v>
      </c>
      <c r="U7" s="702"/>
    </row>
    <row r="8" spans="1:21" ht="36.75" customHeight="1" x14ac:dyDescent="0.25">
      <c r="A8" s="637" t="s">
        <v>596</v>
      </c>
      <c r="B8" s="170">
        <f>B9+B16</f>
        <v>60800.85</v>
      </c>
      <c r="C8" s="171">
        <f>C9+C16</f>
        <v>30204.85</v>
      </c>
      <c r="D8" s="171">
        <f>D9+D16</f>
        <v>24476.799999999999</v>
      </c>
      <c r="E8" s="171">
        <f>E9+E16</f>
        <v>6119.2</v>
      </c>
      <c r="F8" s="171">
        <f>F9+F16</f>
        <v>30596</v>
      </c>
      <c r="H8" s="890"/>
      <c r="I8" s="891"/>
      <c r="J8" s="891"/>
      <c r="K8" s="867" t="s">
        <v>103</v>
      </c>
      <c r="L8" s="868"/>
      <c r="M8" s="869"/>
      <c r="O8" s="890"/>
      <c r="P8" s="897"/>
      <c r="Q8" s="897"/>
      <c r="R8" s="867" t="s">
        <v>98</v>
      </c>
      <c r="S8" s="868"/>
      <c r="T8" s="868"/>
      <c r="U8" s="869"/>
    </row>
    <row r="9" spans="1:21" ht="14.25" customHeight="1" x14ac:dyDescent="0.25">
      <c r="A9" s="173" t="s">
        <v>879</v>
      </c>
      <c r="B9" s="170">
        <f t="shared" ref="B9:B46" si="0">C9+F9</f>
        <v>48710.400000000001</v>
      </c>
      <c r="C9" s="171">
        <f>C10+C11+C12+C13+C14+C15</f>
        <v>18114.400000000001</v>
      </c>
      <c r="D9" s="171">
        <f>D10</f>
        <v>24476.799999999999</v>
      </c>
      <c r="E9" s="171">
        <f>E10</f>
        <v>6119.2</v>
      </c>
      <c r="F9" s="171">
        <f>F10+F11+F12+F13+F14+F15</f>
        <v>30596</v>
      </c>
      <c r="H9" s="138">
        <v>15</v>
      </c>
      <c r="I9" s="208">
        <v>5013670.8600000003</v>
      </c>
      <c r="J9" s="508">
        <f>I9/I14*100</f>
        <v>67.010000000000005</v>
      </c>
      <c r="K9" s="508">
        <f>K14*J9%</f>
        <v>810.82</v>
      </c>
      <c r="L9" s="508">
        <f>3666.67*67%</f>
        <v>2456.67</v>
      </c>
      <c r="M9" s="508">
        <f t="shared" ref="M9:M14" si="1">K9+L9</f>
        <v>3267.49</v>
      </c>
      <c r="O9" s="109">
        <v>15</v>
      </c>
      <c r="P9" s="109">
        <v>11</v>
      </c>
      <c r="Q9" s="84">
        <f>236</f>
        <v>236</v>
      </c>
      <c r="R9" s="508">
        <f>P9*Q9-U17</f>
        <v>224.2</v>
      </c>
      <c r="S9" s="508">
        <f>U17*80%</f>
        <v>1897.44</v>
      </c>
      <c r="T9">
        <f>U17*20%</f>
        <v>474.36</v>
      </c>
      <c r="U9" s="508">
        <f>R9+S9+T9</f>
        <v>2596</v>
      </c>
    </row>
    <row r="10" spans="1:21" ht="14.25" customHeight="1" x14ac:dyDescent="0.25">
      <c r="A10" s="175" t="s">
        <v>880</v>
      </c>
      <c r="B10" s="513">
        <f t="shared" si="0"/>
        <v>33488.400000000001</v>
      </c>
      <c r="C10" s="190">
        <f>R9*6+R9*1.15*6+0.22</f>
        <v>2892.4</v>
      </c>
      <c r="D10" s="190">
        <f>F10/I19*I17</f>
        <v>24476.799999999999</v>
      </c>
      <c r="E10" s="190">
        <f>F10/I19*I18</f>
        <v>6119.2</v>
      </c>
      <c r="F10" s="190">
        <f>U17*6+U17*1.15*6-0.22</f>
        <v>30596</v>
      </c>
      <c r="H10" s="443">
        <v>10</v>
      </c>
      <c r="I10" s="508">
        <v>1160000</v>
      </c>
      <c r="J10" s="508">
        <f>I10/I14*100</f>
        <v>15.5</v>
      </c>
      <c r="K10" s="508">
        <f>K14*J10%</f>
        <v>187.55</v>
      </c>
      <c r="L10" s="208"/>
      <c r="M10" s="508">
        <f t="shared" si="1"/>
        <v>187.55</v>
      </c>
      <c r="O10" s="110">
        <v>10</v>
      </c>
      <c r="P10" s="111">
        <v>1</v>
      </c>
      <c r="Q10" s="84">
        <f>236</f>
        <v>236</v>
      </c>
      <c r="R10" s="508">
        <f>Q10</f>
        <v>236</v>
      </c>
      <c r="S10" s="508"/>
      <c r="T10" s="208"/>
      <c r="U10" s="508">
        <f>R10+T10</f>
        <v>236</v>
      </c>
    </row>
    <row r="11" spans="1:21" ht="14.25" customHeight="1" x14ac:dyDescent="0.25">
      <c r="A11" s="175" t="s">
        <v>881</v>
      </c>
      <c r="B11" s="513">
        <f t="shared" si="0"/>
        <v>3044.4</v>
      </c>
      <c r="C11" s="190">
        <f>R13*6+R13*1.15*6</f>
        <v>3044.4</v>
      </c>
      <c r="D11" s="190"/>
      <c r="E11" s="190"/>
      <c r="F11" s="190"/>
      <c r="H11" s="138">
        <v>14</v>
      </c>
      <c r="I11" s="508">
        <v>116585.8</v>
      </c>
      <c r="J11" s="508">
        <f>I11/I14*100</f>
        <v>1.56</v>
      </c>
      <c r="K11" s="508">
        <f>K14*J11%</f>
        <v>18.88</v>
      </c>
      <c r="L11" s="208"/>
      <c r="M11" s="508">
        <f t="shared" si="1"/>
        <v>18.88</v>
      </c>
      <c r="O11" s="112">
        <v>5</v>
      </c>
      <c r="P11" s="112">
        <v>1</v>
      </c>
      <c r="Q11" s="84">
        <f>236</f>
        <v>236</v>
      </c>
      <c r="R11" s="508">
        <f>Q11</f>
        <v>236</v>
      </c>
      <c r="S11" s="508"/>
      <c r="T11" s="208"/>
      <c r="U11" s="508">
        <f>R11+T11</f>
        <v>236</v>
      </c>
    </row>
    <row r="12" spans="1:21" x14ac:dyDescent="0.25">
      <c r="A12" s="175" t="s">
        <v>882</v>
      </c>
      <c r="B12" s="513">
        <f t="shared" si="0"/>
        <v>3044.4</v>
      </c>
      <c r="C12" s="190">
        <f>R12*6+R12*1.15*6</f>
        <v>3044.4</v>
      </c>
      <c r="D12" s="190"/>
      <c r="E12" s="190"/>
      <c r="F12" s="190"/>
      <c r="H12" s="138">
        <v>17</v>
      </c>
      <c r="I12" s="508">
        <v>7000</v>
      </c>
      <c r="J12" s="508">
        <f>I12/I14*100</f>
        <v>0.09</v>
      </c>
      <c r="K12" s="508">
        <f>K14*J12%</f>
        <v>1.0900000000000001</v>
      </c>
      <c r="L12" s="208"/>
      <c r="M12" s="508">
        <f t="shared" si="1"/>
        <v>1.0900000000000001</v>
      </c>
      <c r="O12" s="112">
        <v>11</v>
      </c>
      <c r="P12" s="112">
        <v>1</v>
      </c>
      <c r="Q12" s="84">
        <f>236</f>
        <v>236</v>
      </c>
      <c r="R12" s="508">
        <f>Q12</f>
        <v>236</v>
      </c>
      <c r="S12" s="508"/>
      <c r="T12" s="208"/>
      <c r="U12" s="508">
        <f>R12+T12</f>
        <v>236</v>
      </c>
    </row>
    <row r="13" spans="1:21" ht="14.25" customHeight="1" x14ac:dyDescent="0.25">
      <c r="A13" s="175" t="s">
        <v>883</v>
      </c>
      <c r="B13" s="513">
        <f t="shared" si="0"/>
        <v>3044.4</v>
      </c>
      <c r="C13" s="190">
        <f>R10*6+R10*1.15*6</f>
        <v>3044.4</v>
      </c>
      <c r="D13" s="190"/>
      <c r="E13" s="190"/>
      <c r="F13" s="190"/>
      <c r="H13" s="165">
        <v>11</v>
      </c>
      <c r="I13" s="508">
        <v>1185112.5</v>
      </c>
      <c r="J13" s="508">
        <f>I13/I14*100</f>
        <v>15.84</v>
      </c>
      <c r="K13" s="508">
        <f>K14*J13%</f>
        <v>191.66</v>
      </c>
      <c r="L13" s="208"/>
      <c r="M13" s="508">
        <f t="shared" si="1"/>
        <v>191.66</v>
      </c>
      <c r="O13" s="112">
        <v>8</v>
      </c>
      <c r="P13" s="112">
        <v>1</v>
      </c>
      <c r="Q13" s="84">
        <f>236</f>
        <v>236</v>
      </c>
      <c r="R13" s="508">
        <f>Q13</f>
        <v>236</v>
      </c>
      <c r="S13" s="508"/>
      <c r="T13" s="208"/>
      <c r="U13" s="508">
        <f>R13+T13</f>
        <v>236</v>
      </c>
    </row>
    <row r="14" spans="1:21" x14ac:dyDescent="0.25">
      <c r="A14" s="175" t="s">
        <v>884</v>
      </c>
      <c r="B14" s="513">
        <f t="shared" si="0"/>
        <v>3044.4</v>
      </c>
      <c r="C14" s="190">
        <f>R11*6+R11*1.15*6</f>
        <v>3044.4</v>
      </c>
      <c r="D14" s="190"/>
      <c r="E14" s="190"/>
      <c r="F14" s="190"/>
      <c r="H14" s="208" t="s">
        <v>820</v>
      </c>
      <c r="I14" s="208">
        <f>SUM(I9:I13)</f>
        <v>7482369.1600000001</v>
      </c>
      <c r="J14" s="142">
        <f>SUM(J9:J13)</f>
        <v>100</v>
      </c>
      <c r="K14" s="142">
        <f>3666.67*33%</f>
        <v>1210</v>
      </c>
      <c r="L14" s="142">
        <f>3666.67*67%</f>
        <v>2456.67</v>
      </c>
      <c r="M14" s="142">
        <f t="shared" si="1"/>
        <v>3666.67</v>
      </c>
      <c r="O14" s="704" t="s">
        <v>694</v>
      </c>
      <c r="P14" s="113">
        <v>1</v>
      </c>
      <c r="Q14" s="84">
        <f>236</f>
        <v>236</v>
      </c>
      <c r="R14" s="508">
        <f>Q14</f>
        <v>236</v>
      </c>
      <c r="S14" s="508"/>
      <c r="T14" s="208"/>
      <c r="U14" s="508">
        <f>R14+T14</f>
        <v>236</v>
      </c>
    </row>
    <row r="15" spans="1:21" x14ac:dyDescent="0.25">
      <c r="A15" s="175" t="s">
        <v>718</v>
      </c>
      <c r="B15" s="513">
        <f t="shared" si="0"/>
        <v>3044.4</v>
      </c>
      <c r="C15" s="190">
        <f>236*6+236*1.15*6</f>
        <v>3044.4</v>
      </c>
      <c r="D15" s="190"/>
      <c r="E15" s="190"/>
      <c r="F15" s="190"/>
      <c r="O15" s="696"/>
      <c r="P15" s="114"/>
      <c r="Q15" s="704"/>
      <c r="R15" s="115">
        <f>R9+R10+R11+R12+R13+R14</f>
        <v>1404.2</v>
      </c>
      <c r="S15" s="115"/>
      <c r="T15" s="115">
        <f>U17+T10+T11+T12+T13+T14</f>
        <v>2371.8000000000002</v>
      </c>
      <c r="U15" s="115">
        <f>U9+U10+U11+U12+U13+U14</f>
        <v>3776</v>
      </c>
    </row>
    <row r="16" spans="1:21" ht="24.2" customHeight="1" x14ac:dyDescent="0.25">
      <c r="A16" s="177" t="s">
        <v>885</v>
      </c>
      <c r="B16" s="170">
        <f t="shared" si="0"/>
        <v>12090.45</v>
      </c>
      <c r="C16" s="171">
        <f>C17+C18+C19+C20</f>
        <v>12090.45</v>
      </c>
      <c r="D16" s="171">
        <v>0</v>
      </c>
      <c r="E16" s="171">
        <v>0</v>
      </c>
      <c r="F16" s="171">
        <f>F17+F18+F19+F20</f>
        <v>0</v>
      </c>
    </row>
    <row r="17" spans="1:21" x14ac:dyDescent="0.25">
      <c r="A17" s="175" t="s">
        <v>880</v>
      </c>
      <c r="B17" s="512">
        <f t="shared" si="0"/>
        <v>3755.8</v>
      </c>
      <c r="C17" s="168">
        <v>3755.8</v>
      </c>
      <c r="D17" s="168"/>
      <c r="E17" s="168"/>
      <c r="F17" s="168"/>
      <c r="I17">
        <v>80</v>
      </c>
      <c r="J17" t="s">
        <v>4</v>
      </c>
      <c r="U17" s="508">
        <f>(11*236+236+236+236+236)*67%</f>
        <v>2371.8000000000002</v>
      </c>
    </row>
    <row r="18" spans="1:21" x14ac:dyDescent="0.25">
      <c r="A18" s="175" t="s">
        <v>881</v>
      </c>
      <c r="B18" s="512">
        <f t="shared" si="0"/>
        <v>4719.9399999999996</v>
      </c>
      <c r="C18" s="168">
        <v>4719.9399999999996</v>
      </c>
      <c r="D18" s="168"/>
      <c r="E18" s="168"/>
      <c r="F18" s="168"/>
      <c r="I18">
        <v>20</v>
      </c>
      <c r="J18" t="s">
        <v>5</v>
      </c>
    </row>
    <row r="19" spans="1:21" x14ac:dyDescent="0.25">
      <c r="A19" s="175" t="s">
        <v>883</v>
      </c>
      <c r="B19" s="512">
        <f t="shared" si="0"/>
        <v>1794.35</v>
      </c>
      <c r="C19" s="168">
        <v>1794.35</v>
      </c>
      <c r="D19" s="168"/>
      <c r="E19" s="168"/>
      <c r="F19" s="168"/>
      <c r="I19">
        <f>I17+I18</f>
        <v>100</v>
      </c>
    </row>
    <row r="20" spans="1:21" ht="14.25" customHeight="1" x14ac:dyDescent="0.25">
      <c r="A20" s="175" t="s">
        <v>884</v>
      </c>
      <c r="B20" s="512">
        <f t="shared" si="0"/>
        <v>1820.36</v>
      </c>
      <c r="C20" s="168">
        <f>455.09*4</f>
        <v>1820.36</v>
      </c>
      <c r="D20" s="168"/>
      <c r="E20" s="168"/>
      <c r="F20" s="168"/>
    </row>
    <row r="21" spans="1:21" ht="49.5" customHeight="1" x14ac:dyDescent="0.25">
      <c r="A21" s="83" t="s">
        <v>622</v>
      </c>
      <c r="B21" s="170">
        <f t="shared" si="0"/>
        <v>3400</v>
      </c>
      <c r="C21" s="171">
        <f>C22</f>
        <v>1252</v>
      </c>
      <c r="D21" s="171">
        <f>D22</f>
        <v>1718.4</v>
      </c>
      <c r="E21" s="171">
        <f>E22</f>
        <v>429.6</v>
      </c>
      <c r="F21" s="171">
        <f>3400-C21</f>
        <v>2148</v>
      </c>
      <c r="I21" s="76"/>
    </row>
    <row r="22" spans="1:21" x14ac:dyDescent="0.25">
      <c r="A22" s="178" t="s">
        <v>880</v>
      </c>
      <c r="B22" s="198">
        <f t="shared" si="0"/>
        <v>3400</v>
      </c>
      <c r="C22" s="198">
        <f>1252</f>
        <v>1252</v>
      </c>
      <c r="D22" s="198">
        <f>F22/I19*I17</f>
        <v>1718.4</v>
      </c>
      <c r="E22" s="198">
        <f>F22/I19*I18</f>
        <v>429.6</v>
      </c>
      <c r="F22" s="705">
        <v>2148</v>
      </c>
    </row>
    <row r="23" spans="1:21" ht="49.5" customHeight="1" x14ac:dyDescent="0.25">
      <c r="A23" s="83" t="s">
        <v>608</v>
      </c>
      <c r="B23" s="170">
        <f t="shared" si="0"/>
        <v>46680</v>
      </c>
      <c r="C23" s="171">
        <f>C24+C25+C26+C27+C28</f>
        <v>14520</v>
      </c>
      <c r="D23" s="171">
        <f>D24</f>
        <v>25728</v>
      </c>
      <c r="E23" s="171">
        <f>E24</f>
        <v>6432</v>
      </c>
      <c r="F23" s="171">
        <f>F24</f>
        <v>32160</v>
      </c>
      <c r="G23" s="76"/>
    </row>
    <row r="24" spans="1:21" x14ac:dyDescent="0.25">
      <c r="A24" s="175" t="s">
        <v>880</v>
      </c>
      <c r="B24" s="512">
        <f t="shared" si="0"/>
        <v>41889.839999999997</v>
      </c>
      <c r="C24" s="168">
        <f>K9*12</f>
        <v>9729.84</v>
      </c>
      <c r="D24" s="168">
        <f>F24/I19*I17</f>
        <v>25728</v>
      </c>
      <c r="E24" s="168">
        <f>F24/I19*I18</f>
        <v>6432</v>
      </c>
      <c r="F24" s="168">
        <f>4000*67%*12</f>
        <v>32160</v>
      </c>
      <c r="I24" s="76"/>
      <c r="J24" s="75"/>
      <c r="K24" s="75"/>
      <c r="L24" s="75"/>
    </row>
    <row r="25" spans="1:21" x14ac:dyDescent="0.25">
      <c r="A25" s="175" t="s">
        <v>882</v>
      </c>
      <c r="B25" s="512">
        <f t="shared" si="0"/>
        <v>2299.92</v>
      </c>
      <c r="C25" s="168">
        <f>K13*12</f>
        <v>2299.92</v>
      </c>
      <c r="D25" s="168"/>
      <c r="E25" s="168"/>
      <c r="F25" s="168"/>
      <c r="J25" s="75"/>
      <c r="K25" s="75"/>
      <c r="L25" s="75"/>
    </row>
    <row r="26" spans="1:21" x14ac:dyDescent="0.25">
      <c r="A26" s="175" t="s">
        <v>883</v>
      </c>
      <c r="B26" s="512">
        <f t="shared" si="0"/>
        <v>2250.6</v>
      </c>
      <c r="C26" s="168">
        <f>K10*12</f>
        <v>2250.6</v>
      </c>
      <c r="D26" s="168"/>
      <c r="E26" s="168"/>
      <c r="F26" s="168"/>
      <c r="J26" s="75"/>
      <c r="K26" s="638"/>
      <c r="L26" s="75"/>
    </row>
    <row r="27" spans="1:21" x14ac:dyDescent="0.25">
      <c r="A27" s="175" t="s">
        <v>886</v>
      </c>
      <c r="B27" s="512">
        <f t="shared" si="0"/>
        <v>13.08</v>
      </c>
      <c r="C27" s="168">
        <f>K12*12</f>
        <v>13.08</v>
      </c>
      <c r="D27" s="168"/>
      <c r="E27" s="168"/>
      <c r="F27" s="168"/>
      <c r="J27" s="75"/>
      <c r="K27" s="638"/>
      <c r="L27" s="75"/>
    </row>
    <row r="28" spans="1:21" x14ac:dyDescent="0.25">
      <c r="A28" s="175" t="s">
        <v>887</v>
      </c>
      <c r="B28" s="512">
        <f t="shared" si="0"/>
        <v>226.56</v>
      </c>
      <c r="C28" s="168">
        <f>K11*12</f>
        <v>226.56</v>
      </c>
      <c r="D28" s="168"/>
      <c r="E28" s="168"/>
      <c r="F28" s="168"/>
      <c r="J28" s="75"/>
      <c r="K28" s="638"/>
      <c r="L28" s="639"/>
    </row>
    <row r="29" spans="1:21" ht="36.75" customHeight="1" x14ac:dyDescent="0.25">
      <c r="A29" s="83" t="s">
        <v>607</v>
      </c>
      <c r="B29" s="170">
        <f t="shared" si="0"/>
        <v>29940</v>
      </c>
      <c r="C29" s="171">
        <f>C30</f>
        <v>13200</v>
      </c>
      <c r="D29" s="171">
        <f>D30</f>
        <v>13392</v>
      </c>
      <c r="E29" s="171">
        <f>E30</f>
        <v>3348</v>
      </c>
      <c r="F29" s="171">
        <f>F30</f>
        <v>16740</v>
      </c>
      <c r="J29" s="75"/>
      <c r="K29" s="638"/>
      <c r="L29" s="75"/>
    </row>
    <row r="30" spans="1:21" ht="23.25" x14ac:dyDescent="0.25">
      <c r="A30" s="175" t="s">
        <v>418</v>
      </c>
      <c r="B30" s="513">
        <f t="shared" si="0"/>
        <v>29940</v>
      </c>
      <c r="C30" s="190">
        <f>1100*12</f>
        <v>13200</v>
      </c>
      <c r="D30" s="190">
        <f>F30/I19*I17</f>
        <v>13392</v>
      </c>
      <c r="E30" s="190">
        <f>F30/I19*I18</f>
        <v>3348</v>
      </c>
      <c r="F30" s="514">
        <f>(2495-1100)*12</f>
        <v>16740</v>
      </c>
      <c r="J30" s="75"/>
      <c r="K30" s="638"/>
      <c r="L30" s="75"/>
    </row>
    <row r="31" spans="1:21" ht="24.75" customHeight="1" x14ac:dyDescent="0.25">
      <c r="A31" s="653" t="s">
        <v>621</v>
      </c>
      <c r="B31" s="170">
        <f t="shared" si="0"/>
        <v>12500</v>
      </c>
      <c r="C31" s="171">
        <f>C32+C33+C34</f>
        <v>12500</v>
      </c>
      <c r="D31" s="171"/>
      <c r="E31" s="171"/>
      <c r="F31" s="179">
        <v>0</v>
      </c>
      <c r="J31" s="75"/>
      <c r="K31" s="638"/>
      <c r="L31" s="75"/>
    </row>
    <row r="32" spans="1:21" x14ac:dyDescent="0.25">
      <c r="A32" s="175" t="s">
        <v>884</v>
      </c>
      <c r="B32" s="512">
        <f t="shared" si="0"/>
        <v>1200</v>
      </c>
      <c r="C32" s="168">
        <f>300*4</f>
        <v>1200</v>
      </c>
      <c r="D32" s="168"/>
      <c r="E32" s="168"/>
      <c r="F32" s="168"/>
    </row>
    <row r="33" spans="1:6" x14ac:dyDescent="0.25">
      <c r="A33" s="175" t="s">
        <v>882</v>
      </c>
      <c r="B33" s="512">
        <f t="shared" si="0"/>
        <v>3600</v>
      </c>
      <c r="C33" s="168">
        <f>3600</f>
        <v>3600</v>
      </c>
      <c r="D33" s="168"/>
      <c r="E33" s="168"/>
      <c r="F33" s="168"/>
    </row>
    <row r="34" spans="1:6" x14ac:dyDescent="0.25">
      <c r="A34" s="175" t="s">
        <v>880</v>
      </c>
      <c r="B34" s="512">
        <f t="shared" si="0"/>
        <v>7700</v>
      </c>
      <c r="C34" s="168">
        <f>7700</f>
        <v>7700</v>
      </c>
      <c r="D34" s="168"/>
      <c r="E34" s="168"/>
      <c r="F34" s="168"/>
    </row>
    <row r="35" spans="1:6" ht="39" x14ac:dyDescent="0.25">
      <c r="A35" s="637" t="s">
        <v>619</v>
      </c>
      <c r="B35" s="170">
        <f t="shared" si="0"/>
        <v>10389.52</v>
      </c>
      <c r="C35" s="171">
        <f>C38</f>
        <v>10389.52</v>
      </c>
      <c r="D35" s="171"/>
      <c r="E35" s="171"/>
      <c r="F35" s="171">
        <v>0</v>
      </c>
    </row>
    <row r="36" spans="1:6" x14ac:dyDescent="0.25">
      <c r="A36" s="511" t="s">
        <v>879</v>
      </c>
      <c r="B36" s="512">
        <f t="shared" si="0"/>
        <v>3044.4</v>
      </c>
      <c r="C36" s="169">
        <f>236*6+236*1.15*6</f>
        <v>3044.4</v>
      </c>
      <c r="D36" s="169"/>
      <c r="E36" s="169"/>
      <c r="F36" s="179"/>
    </row>
    <row r="37" spans="1:6" ht="26.25" x14ac:dyDescent="0.25">
      <c r="A37" s="511" t="s">
        <v>102</v>
      </c>
      <c r="B37" s="512">
        <f t="shared" si="0"/>
        <v>7345.12</v>
      </c>
      <c r="C37" s="169">
        <f>10389.52-C36</f>
        <v>7345.12</v>
      </c>
      <c r="D37" s="169"/>
      <c r="E37" s="169"/>
      <c r="F37" s="179"/>
    </row>
    <row r="38" spans="1:6" x14ac:dyDescent="0.25">
      <c r="A38" s="175" t="s">
        <v>889</v>
      </c>
      <c r="B38" s="512">
        <f t="shared" si="0"/>
        <v>10389.52</v>
      </c>
      <c r="C38" s="168">
        <f>C36+C37</f>
        <v>10389.52</v>
      </c>
      <c r="D38" s="168"/>
      <c r="E38" s="168"/>
      <c r="F38" s="168"/>
    </row>
    <row r="39" spans="1:6" ht="38.25" customHeight="1" x14ac:dyDescent="0.25">
      <c r="A39" s="637" t="s">
        <v>620</v>
      </c>
      <c r="B39" s="170">
        <f t="shared" si="0"/>
        <v>3225</v>
      </c>
      <c r="C39" s="171">
        <f>C40</f>
        <v>3225</v>
      </c>
      <c r="D39" s="171"/>
      <c r="E39" s="171"/>
      <c r="F39" s="179">
        <v>0</v>
      </c>
    </row>
    <row r="40" spans="1:6" x14ac:dyDescent="0.25">
      <c r="A40" s="175" t="s">
        <v>889</v>
      </c>
      <c r="B40" s="512">
        <f t="shared" si="0"/>
        <v>3225</v>
      </c>
      <c r="C40" s="168">
        <v>3225</v>
      </c>
      <c r="D40" s="168"/>
      <c r="E40" s="168"/>
      <c r="F40" s="168"/>
    </row>
    <row r="41" spans="1:6" ht="51.75" x14ac:dyDescent="0.25">
      <c r="A41" s="652" t="s">
        <v>6</v>
      </c>
      <c r="B41" s="170">
        <f t="shared" si="0"/>
        <v>5902.34</v>
      </c>
      <c r="C41" s="171">
        <f>C42</f>
        <v>5902.34</v>
      </c>
      <c r="D41" s="171"/>
      <c r="E41" s="171"/>
      <c r="F41" s="179">
        <v>0</v>
      </c>
    </row>
    <row r="42" spans="1:6" x14ac:dyDescent="0.25">
      <c r="A42" s="175" t="s">
        <v>880</v>
      </c>
      <c r="B42" s="176">
        <f t="shared" si="0"/>
        <v>5902.34</v>
      </c>
      <c r="C42" s="168">
        <f>4402.34+1500</f>
        <v>5902.34</v>
      </c>
      <c r="D42" s="168"/>
      <c r="E42" s="168"/>
      <c r="F42" s="168"/>
    </row>
    <row r="43" spans="1:6" ht="26.25" x14ac:dyDescent="0.25">
      <c r="A43" s="652" t="s">
        <v>895</v>
      </c>
      <c r="B43" s="170">
        <f t="shared" si="0"/>
        <v>1500</v>
      </c>
      <c r="C43" s="171">
        <f>C44</f>
        <v>1500</v>
      </c>
      <c r="D43" s="171"/>
      <c r="E43" s="171"/>
      <c r="F43" s="179">
        <v>0</v>
      </c>
    </row>
    <row r="44" spans="1:6" x14ac:dyDescent="0.25">
      <c r="A44" s="175" t="s">
        <v>880</v>
      </c>
      <c r="B44" s="512">
        <f t="shared" si="0"/>
        <v>1500</v>
      </c>
      <c r="C44" s="168">
        <f>1500</f>
        <v>1500</v>
      </c>
      <c r="D44" s="168"/>
      <c r="E44" s="168"/>
      <c r="F44" s="168"/>
    </row>
    <row r="45" spans="1:6" x14ac:dyDescent="0.25">
      <c r="A45" s="652" t="s">
        <v>896</v>
      </c>
      <c r="B45" s="170">
        <f t="shared" si="0"/>
        <v>600</v>
      </c>
      <c r="C45" s="118">
        <f>C46</f>
        <v>600</v>
      </c>
      <c r="D45" s="118"/>
      <c r="E45" s="118"/>
      <c r="F45" s="179"/>
    </row>
    <row r="46" spans="1:6" x14ac:dyDescent="0.25">
      <c r="A46" s="175" t="s">
        <v>880</v>
      </c>
      <c r="B46" s="512">
        <f t="shared" si="0"/>
        <v>600</v>
      </c>
      <c r="C46" s="168">
        <v>600</v>
      </c>
      <c r="D46" s="168"/>
      <c r="E46" s="168"/>
      <c r="F46" s="168"/>
    </row>
    <row r="47" spans="1:6" x14ac:dyDescent="0.25">
      <c r="A47" s="167" t="s">
        <v>828</v>
      </c>
      <c r="B47" s="170">
        <f>B8+B21+B23+B29+B31+B35+B39+B41+B43+B45</f>
        <v>174937.71</v>
      </c>
      <c r="C47" s="170">
        <f>C8+C21+C23+C29+C31+C35+C39+C41+C43+C45</f>
        <v>93293.71</v>
      </c>
      <c r="D47" s="171">
        <f>D8+D21+D23+D29</f>
        <v>65315.199999999997</v>
      </c>
      <c r="E47" s="171">
        <f>E8+E21+E23+E29</f>
        <v>16328.8</v>
      </c>
      <c r="F47" s="171">
        <f>F8+F21+F23+F29</f>
        <v>81644</v>
      </c>
    </row>
    <row r="48" spans="1:6" x14ac:dyDescent="0.25">
      <c r="A48" s="180"/>
      <c r="B48" s="181"/>
      <c r="C48" s="182"/>
      <c r="D48" s="182"/>
      <c r="E48" s="182"/>
      <c r="F48" s="158"/>
    </row>
    <row r="50" spans="1:9" x14ac:dyDescent="0.25">
      <c r="F50" s="183"/>
      <c r="G50" s="161">
        <v>15</v>
      </c>
      <c r="H50" s="76">
        <f>C10+C15+C17+C22+C24+C30+C34+C42+C44+C46</f>
        <v>49576.78</v>
      </c>
      <c r="I50" s="76">
        <f>50461.08-H50</f>
        <v>884.3</v>
      </c>
    </row>
    <row r="51" spans="1:9" x14ac:dyDescent="0.25">
      <c r="A51" s="64" t="s">
        <v>824</v>
      </c>
      <c r="B51" s="64"/>
      <c r="C51" s="509"/>
      <c r="D51" s="509" t="s">
        <v>825</v>
      </c>
      <c r="G51" s="161">
        <v>16</v>
      </c>
    </row>
    <row r="52" spans="1:9" x14ac:dyDescent="0.25">
      <c r="G52">
        <v>17</v>
      </c>
    </row>
    <row r="53" spans="1:9" x14ac:dyDescent="0.25">
      <c r="A53" s="64" t="s">
        <v>99</v>
      </c>
      <c r="B53" s="64"/>
      <c r="C53" s="64"/>
      <c r="D53" s="64" t="s">
        <v>897</v>
      </c>
      <c r="G53" s="161">
        <v>14</v>
      </c>
    </row>
    <row r="54" spans="1:9" x14ac:dyDescent="0.25">
      <c r="G54" s="161">
        <v>11</v>
      </c>
    </row>
    <row r="55" spans="1:9" x14ac:dyDescent="0.25">
      <c r="B55" s="183"/>
      <c r="C55" s="158">
        <f>'[3]смета от 11.01.2012'!$C$25</f>
        <v>272085.93</v>
      </c>
      <c r="D55" s="158"/>
      <c r="E55" s="158"/>
      <c r="G55">
        <v>8</v>
      </c>
      <c r="H55" s="76">
        <f>C11+C18</f>
        <v>7764.34</v>
      </c>
    </row>
    <row r="56" spans="1:9" x14ac:dyDescent="0.25">
      <c r="C56" s="183">
        <f>C55-C47</f>
        <v>178792.22</v>
      </c>
      <c r="D56" s="183"/>
      <c r="E56" s="183"/>
      <c r="G56" s="161">
        <v>5</v>
      </c>
      <c r="H56" s="162">
        <f>C14+C20+C32</f>
        <v>6064.76</v>
      </c>
    </row>
    <row r="57" spans="1:9" x14ac:dyDescent="0.25">
      <c r="G57" s="161">
        <v>10</v>
      </c>
      <c r="H57" s="162">
        <f>C13+C19+C26</f>
        <v>7089.35</v>
      </c>
    </row>
  </sheetData>
  <mergeCells count="17">
    <mergeCell ref="O6:O8"/>
    <mergeCell ref="H5:M5"/>
    <mergeCell ref="K8:M8"/>
    <mergeCell ref="O5:U5"/>
    <mergeCell ref="R8:U8"/>
    <mergeCell ref="Q6:Q8"/>
    <mergeCell ref="P6:P8"/>
    <mergeCell ref="S6:T6"/>
    <mergeCell ref="A3:F3"/>
    <mergeCell ref="J6:J8"/>
    <mergeCell ref="I6:I8"/>
    <mergeCell ref="H6:H8"/>
    <mergeCell ref="C6:C7"/>
    <mergeCell ref="D6:F6"/>
    <mergeCell ref="C5:F5"/>
    <mergeCell ref="B5:B7"/>
    <mergeCell ref="A5:A7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C12"/>
    </sheetView>
  </sheetViews>
  <sheetFormatPr defaultRowHeight="15" x14ac:dyDescent="0.25"/>
  <cols>
    <col min="1" max="1" width="39.42578125" customWidth="1"/>
    <col min="2" max="2" width="12.28515625" customWidth="1"/>
    <col min="3" max="3" width="20.28515625" customWidth="1"/>
  </cols>
  <sheetData>
    <row r="1" spans="1:4" ht="62.25" customHeight="1" x14ac:dyDescent="0.25">
      <c r="A1" s="789" t="s">
        <v>753</v>
      </c>
      <c r="B1" s="790"/>
      <c r="C1" s="790"/>
    </row>
    <row r="3" spans="1:4" ht="60.75" customHeight="1" x14ac:dyDescent="0.25">
      <c r="A3" s="793" t="s">
        <v>730</v>
      </c>
      <c r="B3" s="791" t="s">
        <v>731</v>
      </c>
      <c r="C3" s="576" t="s">
        <v>751</v>
      </c>
    </row>
    <row r="4" spans="1:4" x14ac:dyDescent="0.25">
      <c r="A4" s="794"/>
      <c r="B4" s="792"/>
      <c r="C4" s="73" t="s">
        <v>668</v>
      </c>
    </row>
    <row r="5" spans="1:4" ht="46.5" customHeight="1" x14ac:dyDescent="0.25">
      <c r="A5" s="710" t="s">
        <v>251</v>
      </c>
      <c r="B5" s="716">
        <f>C5</f>
        <v>333478</v>
      </c>
      <c r="C5" s="716">
        <f>3334775*10%+0.5</f>
        <v>333478</v>
      </c>
    </row>
    <row r="6" spans="1:4" ht="21.75" customHeight="1" x14ac:dyDescent="0.25">
      <c r="A6" s="73" t="s">
        <v>828</v>
      </c>
      <c r="B6" s="717">
        <f>B5</f>
        <v>333478</v>
      </c>
      <c r="C6" s="717">
        <f>C5</f>
        <v>333478</v>
      </c>
    </row>
    <row r="10" spans="1:4" x14ac:dyDescent="0.25">
      <c r="A10" s="64" t="s">
        <v>824</v>
      </c>
      <c r="C10" s="509" t="s">
        <v>825</v>
      </c>
      <c r="D10" s="509"/>
    </row>
    <row r="11" spans="1:4" x14ac:dyDescent="0.25">
      <c r="A11" s="68"/>
      <c r="C11" s="68"/>
      <c r="D11" s="68"/>
    </row>
    <row r="12" spans="1:4" x14ac:dyDescent="0.25">
      <c r="A12" s="64" t="s">
        <v>99</v>
      </c>
      <c r="C12" s="64" t="s">
        <v>897</v>
      </c>
      <c r="D12" s="64"/>
    </row>
  </sheetData>
  <mergeCells count="3">
    <mergeCell ref="A1:C1"/>
    <mergeCell ref="A3:A4"/>
    <mergeCell ref="B3:B4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opLeftCell="A4" workbookViewId="0">
      <selection activeCell="A11" sqref="A11"/>
    </sheetView>
  </sheetViews>
  <sheetFormatPr defaultRowHeight="15" x14ac:dyDescent="0.25"/>
  <cols>
    <col min="1" max="1" width="34" style="68" bestFit="1" customWidth="1"/>
    <col min="2" max="2" width="9.42578125" style="68" customWidth="1"/>
    <col min="3" max="3" width="8.85546875" style="68" customWidth="1"/>
    <col min="4" max="4" width="12" style="68" customWidth="1"/>
    <col min="5" max="5" width="10.85546875" customWidth="1"/>
    <col min="6" max="6" width="9.140625" customWidth="1"/>
    <col min="7" max="7" width="11.7109375" customWidth="1"/>
    <col min="8" max="8" width="8.42578125" customWidth="1"/>
    <col min="9" max="10" width="9.5703125" customWidth="1"/>
    <col min="12" max="12" width="4.5703125" customWidth="1"/>
    <col min="13" max="13" width="7.42578125" customWidth="1"/>
    <col min="14" max="14" width="7.140625" customWidth="1"/>
    <col min="15" max="15" width="7.42578125" customWidth="1"/>
  </cols>
  <sheetData>
    <row r="1" spans="1:10" x14ac:dyDescent="0.25">
      <c r="A1" s="64"/>
      <c r="B1" s="64"/>
      <c r="C1" s="64"/>
      <c r="D1" s="64"/>
    </row>
    <row r="2" spans="1:10" x14ac:dyDescent="0.25">
      <c r="A2" s="64"/>
      <c r="B2" s="64"/>
      <c r="C2" s="64"/>
      <c r="D2" s="64"/>
    </row>
    <row r="3" spans="1:10" ht="36.75" customHeight="1" x14ac:dyDescent="0.25">
      <c r="A3" s="861" t="s">
        <v>483</v>
      </c>
      <c r="B3" s="861"/>
      <c r="C3" s="861"/>
      <c r="D3" s="861"/>
    </row>
    <row r="4" spans="1:10" x14ac:dyDescent="0.25">
      <c r="A4" s="197"/>
      <c r="B4" s="172"/>
      <c r="C4" s="172"/>
      <c r="D4" s="197"/>
    </row>
    <row r="5" spans="1:10" ht="37.5" customHeight="1" x14ac:dyDescent="0.25">
      <c r="A5" s="872" t="s">
        <v>826</v>
      </c>
      <c r="B5" s="867" t="s">
        <v>899</v>
      </c>
      <c r="C5" s="868"/>
      <c r="D5" s="869"/>
      <c r="F5">
        <v>80</v>
      </c>
      <c r="G5" t="s">
        <v>4</v>
      </c>
    </row>
    <row r="6" spans="1:10" ht="12.75" customHeight="1" x14ac:dyDescent="0.25">
      <c r="A6" s="873"/>
      <c r="B6" s="882" t="s">
        <v>878</v>
      </c>
      <c r="C6" s="883"/>
      <c r="D6" s="884"/>
      <c r="F6">
        <v>20</v>
      </c>
      <c r="G6" t="s">
        <v>5</v>
      </c>
    </row>
    <row r="7" spans="1:10" ht="14.25" customHeight="1" x14ac:dyDescent="0.25">
      <c r="A7" s="874"/>
      <c r="B7" s="519">
        <v>401102</v>
      </c>
      <c r="C7" s="519">
        <v>401202</v>
      </c>
      <c r="D7" s="519" t="s">
        <v>854</v>
      </c>
      <c r="F7">
        <f>F5+F6</f>
        <v>100</v>
      </c>
    </row>
    <row r="8" spans="1:10" ht="39" customHeight="1" x14ac:dyDescent="0.25">
      <c r="A8" s="83" t="s">
        <v>598</v>
      </c>
      <c r="B8" s="170">
        <f t="shared" ref="B8:D9" si="0">B9</f>
        <v>24476.799999999999</v>
      </c>
      <c r="C8" s="170">
        <f t="shared" si="0"/>
        <v>6119.2</v>
      </c>
      <c r="D8" s="170">
        <f t="shared" si="0"/>
        <v>30596</v>
      </c>
    </row>
    <row r="9" spans="1:10" ht="14.25" customHeight="1" x14ac:dyDescent="0.25">
      <c r="A9" s="640" t="s">
        <v>879</v>
      </c>
      <c r="B9" s="170">
        <f t="shared" si="0"/>
        <v>24476.799999999999</v>
      </c>
      <c r="C9" s="170">
        <f t="shared" si="0"/>
        <v>6119.2</v>
      </c>
      <c r="D9" s="170">
        <f t="shared" si="0"/>
        <v>30596</v>
      </c>
    </row>
    <row r="10" spans="1:10" x14ac:dyDescent="0.25">
      <c r="A10" s="641" t="s">
        <v>880</v>
      </c>
      <c r="B10" s="117">
        <f>D10/F7*F5</f>
        <v>24476.799999999999</v>
      </c>
      <c r="C10" s="117">
        <f>D10/F7*F6</f>
        <v>6119.2</v>
      </c>
      <c r="D10" s="117">
        <f>G43*6+G43*1.15*6-0.22</f>
        <v>30596</v>
      </c>
    </row>
    <row r="11" spans="1:10" ht="51.75" x14ac:dyDescent="0.25">
      <c r="A11" s="83" t="s">
        <v>599</v>
      </c>
      <c r="B11" s="170">
        <f>B12</f>
        <v>1718.4</v>
      </c>
      <c r="C11" s="170">
        <f>C12</f>
        <v>429.6</v>
      </c>
      <c r="D11" s="170">
        <f>B11+C11</f>
        <v>2148</v>
      </c>
      <c r="G11" s="76"/>
    </row>
    <row r="12" spans="1:10" x14ac:dyDescent="0.25">
      <c r="A12" s="641" t="s">
        <v>880</v>
      </c>
      <c r="B12" s="198">
        <f>D12/F7*F5</f>
        <v>1718.4</v>
      </c>
      <c r="C12" s="198">
        <f>D12/F7*F6</f>
        <v>429.6</v>
      </c>
      <c r="D12" s="510">
        <v>2148</v>
      </c>
    </row>
    <row r="13" spans="1:10" ht="51.75" customHeight="1" x14ac:dyDescent="0.25">
      <c r="A13" s="83" t="s">
        <v>597</v>
      </c>
      <c r="B13" s="170">
        <f>B14</f>
        <v>25728</v>
      </c>
      <c r="C13" s="170">
        <f>C14</f>
        <v>6432</v>
      </c>
      <c r="D13" s="170">
        <f>D14</f>
        <v>32160</v>
      </c>
      <c r="E13" s="76"/>
    </row>
    <row r="14" spans="1:10" x14ac:dyDescent="0.25">
      <c r="A14" s="641" t="s">
        <v>880</v>
      </c>
      <c r="B14" s="198">
        <f>D14/F7*F5</f>
        <v>25728</v>
      </c>
      <c r="C14" s="198">
        <f>D14/F7*F6</f>
        <v>6432</v>
      </c>
      <c r="D14" s="198">
        <f>4000*67%*12</f>
        <v>32160</v>
      </c>
      <c r="G14" s="76"/>
      <c r="H14" s="75"/>
      <c r="I14" s="75"/>
      <c r="J14" s="75"/>
    </row>
    <row r="15" spans="1:10" ht="51.75" x14ac:dyDescent="0.25">
      <c r="A15" s="83" t="s">
        <v>600</v>
      </c>
      <c r="B15" s="170">
        <f>B16</f>
        <v>13392</v>
      </c>
      <c r="C15" s="170">
        <f>C16</f>
        <v>3348</v>
      </c>
      <c r="D15" s="170">
        <f>D16</f>
        <v>16740</v>
      </c>
      <c r="H15" s="75"/>
      <c r="I15" s="638"/>
      <c r="J15" s="75"/>
    </row>
    <row r="16" spans="1:10" ht="26.25" x14ac:dyDescent="0.25">
      <c r="A16" s="641" t="s">
        <v>418</v>
      </c>
      <c r="B16" s="117">
        <f>D16/F7*F5</f>
        <v>13392</v>
      </c>
      <c r="C16" s="117">
        <f>D16/F7*F6</f>
        <v>3348</v>
      </c>
      <c r="D16" s="192">
        <f>(2495-1100)*12</f>
        <v>16740</v>
      </c>
      <c r="H16" s="75"/>
      <c r="I16" s="638"/>
      <c r="J16" s="75"/>
    </row>
    <row r="17" spans="1:10" ht="23.25" customHeight="1" x14ac:dyDescent="0.25">
      <c r="A17" s="167" t="s">
        <v>828</v>
      </c>
      <c r="B17" s="170">
        <f>B8+B11+B13+B15</f>
        <v>65315.199999999997</v>
      </c>
      <c r="C17" s="170">
        <f>C8+C11+C13+C15</f>
        <v>16328.8</v>
      </c>
      <c r="D17" s="170">
        <f>D8+D11+D13+D15</f>
        <v>81644</v>
      </c>
      <c r="H17" s="75"/>
      <c r="I17" s="75"/>
      <c r="J17" s="75"/>
    </row>
    <row r="18" spans="1:10" x14ac:dyDescent="0.25">
      <c r="A18" s="642"/>
      <c r="B18" s="182"/>
      <c r="C18" s="182"/>
      <c r="D18" s="643"/>
    </row>
    <row r="19" spans="1:10" x14ac:dyDescent="0.25">
      <c r="A19" s="197"/>
      <c r="B19" s="197"/>
      <c r="C19" s="197"/>
      <c r="D19" s="197"/>
    </row>
    <row r="20" spans="1:10" x14ac:dyDescent="0.25">
      <c r="A20" s="197"/>
      <c r="B20" s="197"/>
      <c r="C20" s="197"/>
      <c r="D20" s="601"/>
      <c r="E20" s="68"/>
      <c r="F20" s="183"/>
      <c r="G20" s="183"/>
      <c r="H20" s="68"/>
    </row>
    <row r="21" spans="1:10" x14ac:dyDescent="0.25">
      <c r="A21" s="197" t="s">
        <v>824</v>
      </c>
      <c r="B21" s="601"/>
      <c r="C21" s="601" t="s">
        <v>825</v>
      </c>
      <c r="D21" s="197"/>
      <c r="E21" s="68"/>
      <c r="F21" s="68"/>
      <c r="G21" s="68"/>
      <c r="H21" s="68"/>
    </row>
    <row r="22" spans="1:10" x14ac:dyDescent="0.25">
      <c r="A22" s="197"/>
      <c r="B22" s="197"/>
      <c r="C22" s="197"/>
      <c r="D22" s="197"/>
      <c r="E22" s="68"/>
      <c r="F22" s="68"/>
      <c r="G22" s="68"/>
      <c r="H22" s="68"/>
    </row>
    <row r="23" spans="1:10" x14ac:dyDescent="0.25">
      <c r="A23" s="197" t="s">
        <v>99</v>
      </c>
      <c r="B23" s="197"/>
      <c r="C23" s="197" t="s">
        <v>897</v>
      </c>
      <c r="D23" s="197"/>
      <c r="E23" s="68"/>
      <c r="F23" s="68"/>
      <c r="G23" s="68"/>
      <c r="H23" s="68"/>
    </row>
    <row r="24" spans="1:10" x14ac:dyDescent="0.25">
      <c r="E24" s="68"/>
      <c r="F24" s="68"/>
      <c r="G24" s="68"/>
      <c r="H24" s="68"/>
    </row>
    <row r="25" spans="1:10" x14ac:dyDescent="0.25">
      <c r="B25" s="158"/>
      <c r="C25" s="158"/>
      <c r="E25" s="68"/>
      <c r="F25" s="183"/>
      <c r="G25" s="68"/>
      <c r="H25" s="68"/>
    </row>
    <row r="26" spans="1:10" x14ac:dyDescent="0.25">
      <c r="B26" s="183"/>
      <c r="C26" s="183"/>
      <c r="E26" s="68"/>
      <c r="F26" s="183"/>
      <c r="G26" s="68"/>
      <c r="H26" s="68"/>
    </row>
    <row r="27" spans="1:10" x14ac:dyDescent="0.25">
      <c r="E27" s="68"/>
      <c r="F27" s="183"/>
      <c r="G27" s="68"/>
      <c r="H27" s="68"/>
    </row>
    <row r="28" spans="1:10" x14ac:dyDescent="0.25">
      <c r="E28" s="68"/>
      <c r="F28" s="68"/>
      <c r="G28" s="68"/>
      <c r="H28" s="68"/>
    </row>
    <row r="31" spans="1:10" ht="14.25" customHeight="1" x14ac:dyDescent="0.25">
      <c r="A31" s="892" t="s">
        <v>100</v>
      </c>
      <c r="B31" s="893"/>
      <c r="C31" s="893"/>
      <c r="D31" s="893"/>
      <c r="E31" s="893"/>
      <c r="F31" s="893"/>
      <c r="G31" s="894"/>
    </row>
    <row r="32" spans="1:10" ht="14.25" customHeight="1" x14ac:dyDescent="0.25">
      <c r="A32" s="888" t="s">
        <v>691</v>
      </c>
      <c r="B32" s="895" t="s">
        <v>692</v>
      </c>
      <c r="C32" s="895" t="s">
        <v>693</v>
      </c>
      <c r="D32" s="210" t="s">
        <v>96</v>
      </c>
      <c r="E32" s="898" t="s">
        <v>97</v>
      </c>
      <c r="F32" s="899"/>
      <c r="G32" s="210" t="s">
        <v>854</v>
      </c>
    </row>
    <row r="33" spans="1:7" x14ac:dyDescent="0.25">
      <c r="A33" s="889"/>
      <c r="B33" s="896"/>
      <c r="C33" s="896"/>
      <c r="D33" s="581"/>
      <c r="E33" s="583">
        <v>401102</v>
      </c>
      <c r="F33" s="583">
        <v>401202</v>
      </c>
      <c r="G33" s="582"/>
    </row>
    <row r="34" spans="1:7" ht="23.25" customHeight="1" x14ac:dyDescent="0.25">
      <c r="A34" s="890"/>
      <c r="B34" s="897"/>
      <c r="C34" s="897"/>
      <c r="D34" s="867" t="s">
        <v>98</v>
      </c>
      <c r="E34" s="868"/>
      <c r="F34" s="868"/>
      <c r="G34" s="869"/>
    </row>
    <row r="35" spans="1:7" x14ac:dyDescent="0.25">
      <c r="A35" s="109">
        <v>15</v>
      </c>
      <c r="B35" s="109">
        <v>11</v>
      </c>
      <c r="C35" s="84">
        <f>236</f>
        <v>236</v>
      </c>
      <c r="D35" s="423">
        <f>B35*C35-G43</f>
        <v>224.2</v>
      </c>
      <c r="E35" s="423">
        <f>G43*80%</f>
        <v>1897.44</v>
      </c>
      <c r="F35">
        <f>G43*20%</f>
        <v>474.36</v>
      </c>
      <c r="G35" s="423">
        <f>D35+E35+F35</f>
        <v>2596</v>
      </c>
    </row>
    <row r="36" spans="1:7" x14ac:dyDescent="0.25">
      <c r="A36" s="110">
        <v>10</v>
      </c>
      <c r="B36" s="111">
        <v>1</v>
      </c>
      <c r="C36" s="84">
        <f>236</f>
        <v>236</v>
      </c>
      <c r="D36" s="423">
        <f>C36</f>
        <v>236</v>
      </c>
      <c r="E36" s="423"/>
      <c r="F36" s="124"/>
      <c r="G36" s="423">
        <f>D36+F36</f>
        <v>236</v>
      </c>
    </row>
    <row r="37" spans="1:7" x14ac:dyDescent="0.25">
      <c r="A37" s="112">
        <v>5</v>
      </c>
      <c r="B37" s="112">
        <v>1</v>
      </c>
      <c r="C37" s="84">
        <f>236</f>
        <v>236</v>
      </c>
      <c r="D37" s="423">
        <f>C37</f>
        <v>236</v>
      </c>
      <c r="E37" s="423"/>
      <c r="F37" s="124"/>
      <c r="G37" s="423">
        <f>D37+F37</f>
        <v>236</v>
      </c>
    </row>
    <row r="38" spans="1:7" x14ac:dyDescent="0.25">
      <c r="A38" s="112">
        <v>11</v>
      </c>
      <c r="B38" s="112">
        <v>1</v>
      </c>
      <c r="C38" s="84">
        <f>236</f>
        <v>236</v>
      </c>
      <c r="D38" s="423">
        <f>C38</f>
        <v>236</v>
      </c>
      <c r="E38" s="423"/>
      <c r="F38" s="124"/>
      <c r="G38" s="423">
        <f>D38+F38</f>
        <v>236</v>
      </c>
    </row>
    <row r="39" spans="1:7" ht="33.75" customHeight="1" x14ac:dyDescent="0.25">
      <c r="A39" s="112">
        <v>8</v>
      </c>
      <c r="B39" s="112">
        <v>1</v>
      </c>
      <c r="C39" s="84">
        <f>236</f>
        <v>236</v>
      </c>
      <c r="D39" s="423">
        <f>C39</f>
        <v>236</v>
      </c>
      <c r="E39" s="423"/>
      <c r="F39" s="124"/>
      <c r="G39" s="423">
        <f>D39+F39</f>
        <v>236</v>
      </c>
    </row>
    <row r="40" spans="1:7" x14ac:dyDescent="0.25">
      <c r="A40" s="191" t="s">
        <v>694</v>
      </c>
      <c r="B40" s="113">
        <v>1</v>
      </c>
      <c r="C40" s="84">
        <f>236</f>
        <v>236</v>
      </c>
      <c r="D40" s="423">
        <f>C40</f>
        <v>236</v>
      </c>
      <c r="E40" s="423"/>
      <c r="F40" s="124"/>
      <c r="G40" s="423">
        <f>D40+F40</f>
        <v>236</v>
      </c>
    </row>
    <row r="41" spans="1:7" x14ac:dyDescent="0.25">
      <c r="A41" s="429"/>
      <c r="B41" s="114"/>
      <c r="C41" s="191"/>
      <c r="D41" s="115">
        <f>D35+D36+D37+D38+D39+D40</f>
        <v>1404.2</v>
      </c>
      <c r="E41" s="115"/>
      <c r="F41" s="115">
        <f>G43+F36+F37+F38+F39+F40</f>
        <v>2371.8000000000002</v>
      </c>
      <c r="G41" s="115">
        <f>G35+G36+G37+G38+G39+G40</f>
        <v>3776</v>
      </c>
    </row>
    <row r="42" spans="1:7" ht="24.75" customHeight="1" x14ac:dyDescent="0.25">
      <c r="A42"/>
      <c r="B42"/>
      <c r="C42"/>
      <c r="D42"/>
    </row>
    <row r="43" spans="1:7" x14ac:dyDescent="0.25">
      <c r="A43"/>
      <c r="B43"/>
      <c r="C43"/>
      <c r="D43"/>
      <c r="G43" s="423">
        <f>(11*236+236+236+236+236)*67%</f>
        <v>2371.8000000000002</v>
      </c>
    </row>
    <row r="44" spans="1:7" ht="27" customHeight="1" x14ac:dyDescent="0.25">
      <c r="A44" s="891" t="s">
        <v>101</v>
      </c>
      <c r="B44" s="891"/>
      <c r="C44" s="891"/>
      <c r="D44" s="891"/>
      <c r="E44" s="891"/>
      <c r="F44" s="891"/>
    </row>
    <row r="45" spans="1:7" x14ac:dyDescent="0.25">
      <c r="A45" s="888" t="s">
        <v>691</v>
      </c>
      <c r="B45" s="891" t="s">
        <v>866</v>
      </c>
      <c r="C45" s="891" t="s">
        <v>867</v>
      </c>
      <c r="D45" s="507" t="s">
        <v>96</v>
      </c>
      <c r="E45" s="507" t="s">
        <v>97</v>
      </c>
      <c r="F45" s="507" t="s">
        <v>854</v>
      </c>
    </row>
    <row r="46" spans="1:7" x14ac:dyDescent="0.25">
      <c r="A46" s="889"/>
      <c r="B46" s="891"/>
      <c r="C46" s="891"/>
      <c r="D46" s="578"/>
      <c r="E46" s="579"/>
      <c r="F46" s="580"/>
    </row>
    <row r="47" spans="1:7" ht="23.25" customHeight="1" x14ac:dyDescent="0.25">
      <c r="A47" s="890"/>
      <c r="B47" s="900"/>
      <c r="C47" s="900"/>
      <c r="D47" s="867" t="s">
        <v>103</v>
      </c>
      <c r="E47" s="868"/>
      <c r="F47" s="869"/>
    </row>
    <row r="48" spans="1:7" x14ac:dyDescent="0.25">
      <c r="A48" s="138">
        <v>15</v>
      </c>
      <c r="B48" s="124">
        <v>5013670.8600000003</v>
      </c>
      <c r="C48" s="423">
        <f>B48/B53*100</f>
        <v>67.010000000000005</v>
      </c>
      <c r="D48" s="423">
        <f>D53*C48%</f>
        <v>884.53</v>
      </c>
      <c r="E48" s="508">
        <f>4000*67%</f>
        <v>2680</v>
      </c>
      <c r="F48" s="423">
        <f t="shared" ref="F48:F53" si="1">D48+E48</f>
        <v>3564.53</v>
      </c>
    </row>
    <row r="49" spans="1:6" x14ac:dyDescent="0.25">
      <c r="A49" s="443">
        <v>10</v>
      </c>
      <c r="B49" s="423">
        <v>1160000</v>
      </c>
      <c r="C49" s="423">
        <f>B49/B53*100</f>
        <v>15.5</v>
      </c>
      <c r="D49" s="423">
        <f>D53*C49%</f>
        <v>204.6</v>
      </c>
      <c r="E49" s="124"/>
      <c r="F49" s="423">
        <f t="shared" si="1"/>
        <v>204.6</v>
      </c>
    </row>
    <row r="50" spans="1:6" x14ac:dyDescent="0.25">
      <c r="A50" s="138">
        <v>14</v>
      </c>
      <c r="B50" s="423">
        <v>116585.8</v>
      </c>
      <c r="C50" s="423">
        <f>B50/B53*100</f>
        <v>1.56</v>
      </c>
      <c r="D50" s="423">
        <f>D53*C50%</f>
        <v>20.59</v>
      </c>
      <c r="E50" s="124"/>
      <c r="F50" s="423">
        <f t="shared" si="1"/>
        <v>20.59</v>
      </c>
    </row>
    <row r="51" spans="1:6" x14ac:dyDescent="0.25">
      <c r="A51" s="138">
        <v>17</v>
      </c>
      <c r="B51" s="423">
        <v>7000</v>
      </c>
      <c r="C51" s="423">
        <f>B51/B53*100</f>
        <v>0.09</v>
      </c>
      <c r="D51" s="423">
        <f>D53*C51%</f>
        <v>1.19</v>
      </c>
      <c r="E51" s="124"/>
      <c r="F51" s="423">
        <f t="shared" si="1"/>
        <v>1.19</v>
      </c>
    </row>
    <row r="52" spans="1:6" x14ac:dyDescent="0.25">
      <c r="A52" s="165">
        <v>11</v>
      </c>
      <c r="B52" s="423">
        <v>1185112.5</v>
      </c>
      <c r="C52" s="423">
        <f>B52/B53*100</f>
        <v>15.84</v>
      </c>
      <c r="D52" s="423">
        <f>D53*C52%</f>
        <v>209.09</v>
      </c>
      <c r="E52" s="124"/>
      <c r="F52" s="423">
        <f t="shared" si="1"/>
        <v>209.09</v>
      </c>
    </row>
    <row r="53" spans="1:6" x14ac:dyDescent="0.25">
      <c r="A53" s="124" t="s">
        <v>820</v>
      </c>
      <c r="B53" s="124">
        <f>SUM(B48:B52)</f>
        <v>7482369.1600000001</v>
      </c>
      <c r="C53" s="142">
        <f>SUM(C48:C52)</f>
        <v>100</v>
      </c>
      <c r="D53" s="142">
        <f>4000*33%</f>
        <v>1320</v>
      </c>
      <c r="E53" s="142">
        <f>4000*67%</f>
        <v>2680</v>
      </c>
      <c r="F53" s="142">
        <f t="shared" si="1"/>
        <v>4000</v>
      </c>
    </row>
  </sheetData>
  <mergeCells count="15">
    <mergeCell ref="A45:A47"/>
    <mergeCell ref="B45:B47"/>
    <mergeCell ref="C45:C47"/>
    <mergeCell ref="D47:F47"/>
    <mergeCell ref="A3:D3"/>
    <mergeCell ref="B6:D6"/>
    <mergeCell ref="B5:D5"/>
    <mergeCell ref="A44:F44"/>
    <mergeCell ref="A32:A34"/>
    <mergeCell ref="A5:A7"/>
    <mergeCell ref="D34:G34"/>
    <mergeCell ref="C32:C34"/>
    <mergeCell ref="B32:B34"/>
    <mergeCell ref="E32:F32"/>
    <mergeCell ref="A31:G31"/>
  </mergeCells>
  <phoneticPr fontId="17" type="noConversion"/>
  <pageMargins left="0.7" right="0.7" top="0.75" bottom="0.75" header="0.3" footer="0.3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9"/>
  <sheetViews>
    <sheetView workbookViewId="0">
      <selection activeCell="A3" sqref="A3:F3"/>
    </sheetView>
  </sheetViews>
  <sheetFormatPr defaultRowHeight="15" x14ac:dyDescent="0.25"/>
  <cols>
    <col min="1" max="1" width="27.28515625" style="145" customWidth="1"/>
    <col min="2" max="2" width="11.7109375" style="145" customWidth="1"/>
    <col min="3" max="3" width="12.5703125" style="145" customWidth="1"/>
    <col min="4" max="5" width="8.85546875" style="145" customWidth="1"/>
    <col min="6" max="6" width="8.140625" style="145" customWidth="1"/>
    <col min="10" max="10" width="9.5703125" bestFit="1" customWidth="1"/>
  </cols>
  <sheetData>
    <row r="3" spans="1:10" ht="27.75" customHeight="1" x14ac:dyDescent="0.25">
      <c r="A3" s="789" t="s">
        <v>484</v>
      </c>
      <c r="B3" s="789"/>
      <c r="C3" s="789"/>
      <c r="D3" s="789"/>
      <c r="E3" s="789"/>
      <c r="F3" s="789"/>
    </row>
    <row r="4" spans="1:10" x14ac:dyDescent="0.25">
      <c r="A4" s="95"/>
      <c r="B4" s="95"/>
      <c r="C4" s="95"/>
      <c r="D4" s="95"/>
      <c r="E4" s="95"/>
      <c r="F4" s="95"/>
      <c r="H4">
        <v>80</v>
      </c>
      <c r="I4" t="s">
        <v>4</v>
      </c>
    </row>
    <row r="5" spans="1:10" x14ac:dyDescent="0.25">
      <c r="A5" s="95"/>
      <c r="B5" s="95"/>
      <c r="C5" s="95"/>
      <c r="D5" s="95"/>
      <c r="E5" s="95"/>
      <c r="F5" s="95"/>
      <c r="H5">
        <v>20</v>
      </c>
      <c r="I5" t="s">
        <v>5</v>
      </c>
    </row>
    <row r="6" spans="1:10" ht="42" customHeight="1" x14ac:dyDescent="0.25">
      <c r="A6" s="793" t="s">
        <v>826</v>
      </c>
      <c r="B6" s="872" t="s">
        <v>699</v>
      </c>
      <c r="C6" s="867" t="s">
        <v>898</v>
      </c>
      <c r="D6" s="868"/>
      <c r="E6" s="868"/>
      <c r="F6" s="869"/>
      <c r="H6">
        <f>H4+H5</f>
        <v>100</v>
      </c>
    </row>
    <row r="7" spans="1:10" ht="16.7" customHeight="1" x14ac:dyDescent="0.25">
      <c r="A7" s="803"/>
      <c r="B7" s="873"/>
      <c r="C7" s="872" t="s">
        <v>601</v>
      </c>
      <c r="D7" s="882" t="s">
        <v>602</v>
      </c>
      <c r="E7" s="883"/>
      <c r="F7" s="884"/>
    </row>
    <row r="8" spans="1:10" ht="16.7" customHeight="1" x14ac:dyDescent="0.25">
      <c r="A8" s="794"/>
      <c r="B8" s="874"/>
      <c r="C8" s="874"/>
      <c r="D8" s="519">
        <v>401102</v>
      </c>
      <c r="E8" s="519">
        <v>401202</v>
      </c>
      <c r="F8" s="519" t="s">
        <v>854</v>
      </c>
    </row>
    <row r="9" spans="1:10" ht="14.25" customHeight="1" x14ac:dyDescent="0.25">
      <c r="A9" s="123" t="s">
        <v>603</v>
      </c>
      <c r="B9" s="184">
        <f>C9+D9+E9</f>
        <v>49412</v>
      </c>
      <c r="C9" s="184">
        <f>C10+C11</f>
        <v>26490</v>
      </c>
      <c r="D9" s="84">
        <f>D10</f>
        <v>18337.599999999999</v>
      </c>
      <c r="E9" s="84">
        <f>E10</f>
        <v>4584.3999999999996</v>
      </c>
      <c r="F9" s="84">
        <f>F10</f>
        <v>22922</v>
      </c>
      <c r="G9" s="68"/>
      <c r="H9" s="68"/>
    </row>
    <row r="10" spans="1:10" x14ac:dyDescent="0.25">
      <c r="A10" s="125" t="s">
        <v>880</v>
      </c>
      <c r="B10" s="644">
        <f t="shared" ref="B10:B16" si="0">C10+D10+E10</f>
        <v>34212</v>
      </c>
      <c r="C10" s="645">
        <v>11290</v>
      </c>
      <c r="D10" s="117">
        <f>F10/H6*H4</f>
        <v>18337.599999999999</v>
      </c>
      <c r="E10" s="117">
        <f>F10/H6*H5</f>
        <v>4584.3999999999996</v>
      </c>
      <c r="F10" s="117">
        <f>34212*67%-0.04</f>
        <v>22922</v>
      </c>
      <c r="G10" s="68"/>
      <c r="H10" s="68">
        <v>1200</v>
      </c>
    </row>
    <row r="11" spans="1:10" x14ac:dyDescent="0.25">
      <c r="A11" s="125" t="s">
        <v>604</v>
      </c>
      <c r="B11" s="644">
        <f t="shared" si="0"/>
        <v>15200</v>
      </c>
      <c r="C11" s="645">
        <v>15200</v>
      </c>
      <c r="D11" s="117"/>
      <c r="E11" s="117"/>
      <c r="F11" s="117"/>
      <c r="G11" s="68"/>
      <c r="H11" s="183">
        <f>H10*H4%</f>
        <v>960</v>
      </c>
    </row>
    <row r="12" spans="1:10" ht="39" x14ac:dyDescent="0.25">
      <c r="A12" s="123" t="s">
        <v>695</v>
      </c>
      <c r="B12" s="184">
        <f t="shared" si="0"/>
        <v>16500</v>
      </c>
      <c r="C12" s="156">
        <v>16500</v>
      </c>
      <c r="D12" s="117"/>
      <c r="E12" s="117"/>
      <c r="F12" s="117"/>
      <c r="G12" s="68"/>
      <c r="H12" s="183">
        <f>H10*H5%</f>
        <v>240</v>
      </c>
    </row>
    <row r="13" spans="1:10" x14ac:dyDescent="0.25">
      <c r="A13" s="123" t="s">
        <v>697</v>
      </c>
      <c r="B13" s="184">
        <f t="shared" si="0"/>
        <v>8000</v>
      </c>
      <c r="C13" s="156">
        <v>8000</v>
      </c>
      <c r="D13" s="117"/>
      <c r="E13" s="117"/>
      <c r="F13" s="117"/>
      <c r="G13" s="68"/>
      <c r="H13" s="68"/>
    </row>
    <row r="14" spans="1:10" ht="26.25" x14ac:dyDescent="0.25">
      <c r="A14" s="123" t="s">
        <v>698</v>
      </c>
      <c r="B14" s="184">
        <f t="shared" si="0"/>
        <v>221095.93</v>
      </c>
      <c r="C14" s="156">
        <f>C15+C16</f>
        <v>221095.93</v>
      </c>
      <c r="D14" s="117"/>
      <c r="E14" s="117"/>
      <c r="F14" s="117"/>
      <c r="G14" s="68"/>
      <c r="H14" s="68"/>
    </row>
    <row r="15" spans="1:10" x14ac:dyDescent="0.25">
      <c r="A15" s="125" t="s">
        <v>880</v>
      </c>
      <c r="B15" s="644">
        <f t="shared" si="0"/>
        <v>28974</v>
      </c>
      <c r="C15" s="645">
        <v>28974</v>
      </c>
      <c r="D15" s="117"/>
      <c r="E15" s="117"/>
      <c r="F15" s="117"/>
      <c r="G15" s="68"/>
      <c r="H15" s="68"/>
    </row>
    <row r="16" spans="1:10" x14ac:dyDescent="0.25">
      <c r="A16" s="125" t="s">
        <v>889</v>
      </c>
      <c r="B16" s="644">
        <f t="shared" si="0"/>
        <v>192121.93</v>
      </c>
      <c r="C16" s="125">
        <v>192121.93</v>
      </c>
      <c r="D16" s="117"/>
      <c r="E16" s="117"/>
      <c r="F16" s="117"/>
      <c r="G16" s="68"/>
      <c r="H16" s="68"/>
      <c r="I16">
        <v>625</v>
      </c>
      <c r="J16" s="76">
        <f>B9-9600</f>
        <v>39812</v>
      </c>
    </row>
    <row r="17" spans="1:10" ht="21" customHeight="1" x14ac:dyDescent="0.25">
      <c r="A17" s="136" t="s">
        <v>719</v>
      </c>
      <c r="B17" s="137">
        <f>B9+B12+B13+B14</f>
        <v>295007.93</v>
      </c>
      <c r="C17" s="137">
        <f>C9+C12+C13+C14</f>
        <v>272085.93</v>
      </c>
      <c r="D17" s="137">
        <f>D9</f>
        <v>18337.599999999999</v>
      </c>
      <c r="E17" s="137">
        <f>E9</f>
        <v>4584.3999999999996</v>
      </c>
      <c r="F17" s="137">
        <f>F9</f>
        <v>22922</v>
      </c>
    </row>
    <row r="18" spans="1:10" x14ac:dyDescent="0.25">
      <c r="I18" s="76">
        <f>I16*H4%</f>
        <v>500</v>
      </c>
    </row>
    <row r="19" spans="1:10" x14ac:dyDescent="0.25">
      <c r="I19" s="76">
        <f>I16*H5%</f>
        <v>125</v>
      </c>
    </row>
    <row r="20" spans="1:10" x14ac:dyDescent="0.25">
      <c r="J20" s="76">
        <f>9300/5</f>
        <v>1860</v>
      </c>
    </row>
    <row r="21" spans="1:10" x14ac:dyDescent="0.25">
      <c r="A21" s="195" t="s">
        <v>824</v>
      </c>
      <c r="B21" s="195"/>
      <c r="C21" s="195"/>
      <c r="D21" s="520" t="s">
        <v>825</v>
      </c>
      <c r="J21" s="76"/>
    </row>
    <row r="22" spans="1:10" x14ac:dyDescent="0.25">
      <c r="A22" s="195"/>
      <c r="B22" s="195"/>
      <c r="C22" s="195"/>
      <c r="D22" s="195"/>
      <c r="J22" s="76"/>
    </row>
    <row r="23" spans="1:10" x14ac:dyDescent="0.25">
      <c r="A23" s="195" t="s">
        <v>99</v>
      </c>
      <c r="B23" s="195"/>
      <c r="C23" s="195"/>
      <c r="D23" s="195" t="s">
        <v>897</v>
      </c>
      <c r="J23" s="76"/>
    </row>
    <row r="24" spans="1:10" x14ac:dyDescent="0.25">
      <c r="J24" s="76"/>
    </row>
    <row r="25" spans="1:10" x14ac:dyDescent="0.25">
      <c r="A25" s="145" t="s">
        <v>891</v>
      </c>
      <c r="D25" s="145" t="s">
        <v>457</v>
      </c>
      <c r="J25" s="76"/>
    </row>
    <row r="26" spans="1:10" x14ac:dyDescent="0.25">
      <c r="J26" s="76"/>
    </row>
    <row r="27" spans="1:10" x14ac:dyDescent="0.25">
      <c r="B27" s="436"/>
      <c r="C27" s="436">
        <f>'[3]смета от 11.01.2012'!$C$26</f>
        <v>896724.5</v>
      </c>
    </row>
    <row r="28" spans="1:10" x14ac:dyDescent="0.25">
      <c r="B28" s="436"/>
      <c r="C28" s="436">
        <f>C27-C17</f>
        <v>624638.56999999995</v>
      </c>
      <c r="D28" s="163"/>
      <c r="E28" s="163"/>
    </row>
    <row r="29" spans="1:10" x14ac:dyDescent="0.25">
      <c r="D29" s="163"/>
      <c r="E29" s="163"/>
    </row>
  </sheetData>
  <mergeCells count="6">
    <mergeCell ref="A3:F3"/>
    <mergeCell ref="D7:F7"/>
    <mergeCell ref="A6:A8"/>
    <mergeCell ref="C7:C8"/>
    <mergeCell ref="B6:B8"/>
    <mergeCell ref="C6:F6"/>
  </mergeCells>
  <phoneticPr fontId="17" type="noConversion"/>
  <pageMargins left="0.7" right="0.7" top="0.75" bottom="0.75" header="0.3" footer="0.3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1"/>
  <sheetViews>
    <sheetView workbookViewId="0">
      <selection activeCell="A10" sqref="A10"/>
    </sheetView>
  </sheetViews>
  <sheetFormatPr defaultRowHeight="15" x14ac:dyDescent="0.25"/>
  <cols>
    <col min="1" max="1" width="25.5703125" customWidth="1"/>
    <col min="2" max="3" width="8.85546875" customWidth="1"/>
    <col min="4" max="4" width="14.140625" customWidth="1"/>
    <col min="8" max="8" width="9.5703125" bestFit="1" customWidth="1"/>
  </cols>
  <sheetData>
    <row r="3" spans="1:8" ht="48" customHeight="1" x14ac:dyDescent="0.25">
      <c r="A3" s="789" t="s">
        <v>484</v>
      </c>
      <c r="B3" s="789"/>
      <c r="C3" s="789"/>
      <c r="D3" s="789"/>
    </row>
    <row r="6" spans="1:8" ht="39.75" customHeight="1" x14ac:dyDescent="0.25">
      <c r="A6" s="793" t="s">
        <v>826</v>
      </c>
      <c r="B6" s="867" t="s">
        <v>899</v>
      </c>
      <c r="C6" s="868"/>
      <c r="D6" s="869"/>
    </row>
    <row r="7" spans="1:8" ht="16.7" customHeight="1" x14ac:dyDescent="0.25">
      <c r="A7" s="803"/>
      <c r="B7" s="882" t="s">
        <v>878</v>
      </c>
      <c r="C7" s="883"/>
      <c r="D7" s="884"/>
      <c r="G7">
        <v>80</v>
      </c>
      <c r="H7" s="76" t="s">
        <v>4</v>
      </c>
    </row>
    <row r="8" spans="1:8" ht="16.7" customHeight="1" x14ac:dyDescent="0.25">
      <c r="A8" s="794"/>
      <c r="B8" s="519">
        <v>401102</v>
      </c>
      <c r="C8" s="519">
        <v>401202</v>
      </c>
      <c r="D8" s="519" t="s">
        <v>854</v>
      </c>
      <c r="G8">
        <v>20</v>
      </c>
      <c r="H8" s="76" t="s">
        <v>5</v>
      </c>
    </row>
    <row r="9" spans="1:8" ht="18.75" customHeight="1" x14ac:dyDescent="0.25">
      <c r="A9" s="121" t="s">
        <v>696</v>
      </c>
      <c r="B9" s="84">
        <f>B10</f>
        <v>18337.599999999999</v>
      </c>
      <c r="C9" s="84">
        <f>C10</f>
        <v>4584.3999999999996</v>
      </c>
      <c r="D9" s="84">
        <f>B9+C9</f>
        <v>22922</v>
      </c>
      <c r="E9" s="68"/>
      <c r="F9" s="68"/>
      <c r="G9">
        <v>100</v>
      </c>
      <c r="H9" s="76"/>
    </row>
    <row r="10" spans="1:8" x14ac:dyDescent="0.25">
      <c r="A10" s="516" t="s">
        <v>880</v>
      </c>
      <c r="B10" s="513">
        <f>D10*G7%</f>
        <v>18337.599999999999</v>
      </c>
      <c r="C10" s="513">
        <f>D10*G8%</f>
        <v>4584.3999999999996</v>
      </c>
      <c r="D10" s="513">
        <f>34212*67%-0.04</f>
        <v>22922</v>
      </c>
      <c r="E10" s="68"/>
      <c r="F10" s="68"/>
    </row>
    <row r="11" spans="1:8" ht="21" customHeight="1" x14ac:dyDescent="0.25">
      <c r="A11" s="167" t="s">
        <v>828</v>
      </c>
      <c r="B11" s="137">
        <f>B9</f>
        <v>18337.599999999999</v>
      </c>
      <c r="C11" s="137">
        <f>C9</f>
        <v>4584.3999999999996</v>
      </c>
      <c r="D11" s="137">
        <f>D9</f>
        <v>22922</v>
      </c>
    </row>
    <row r="15" spans="1:8" x14ac:dyDescent="0.25">
      <c r="A15" s="64" t="s">
        <v>824</v>
      </c>
      <c r="D15" s="509" t="s">
        <v>825</v>
      </c>
    </row>
    <row r="16" spans="1:8" x14ac:dyDescent="0.25">
      <c r="A16" s="68"/>
      <c r="D16" s="68"/>
    </row>
    <row r="17" spans="1:4" x14ac:dyDescent="0.25">
      <c r="A17" s="64" t="s">
        <v>99</v>
      </c>
      <c r="D17" s="64" t="s">
        <v>897</v>
      </c>
    </row>
    <row r="20" spans="1:4" x14ac:dyDescent="0.25">
      <c r="B20" s="79"/>
      <c r="C20" s="79"/>
    </row>
    <row r="21" spans="1:4" x14ac:dyDescent="0.25">
      <c r="B21" s="79"/>
      <c r="C21" s="79"/>
    </row>
  </sheetData>
  <mergeCells count="4">
    <mergeCell ref="A3:D3"/>
    <mergeCell ref="B6:D6"/>
    <mergeCell ref="B7:D7"/>
    <mergeCell ref="A6:A8"/>
  </mergeCells>
  <phoneticPr fontId="17" type="noConversion"/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4"/>
  <sheetViews>
    <sheetView workbookViewId="0">
      <selection activeCell="A3" sqref="A3:E3"/>
    </sheetView>
  </sheetViews>
  <sheetFormatPr defaultRowHeight="15" x14ac:dyDescent="0.25"/>
  <cols>
    <col min="1" max="1" width="3.42578125" style="195" customWidth="1"/>
    <col min="2" max="2" width="29.140625" style="195" customWidth="1"/>
    <col min="3" max="3" width="11" style="195" customWidth="1"/>
    <col min="4" max="4" width="13.7109375" style="195" customWidth="1"/>
    <col min="5" max="5" width="15.7109375" style="195" customWidth="1"/>
    <col min="6" max="6" width="9" style="68" customWidth="1"/>
  </cols>
  <sheetData>
    <row r="3" spans="1:8" ht="39" customHeight="1" x14ac:dyDescent="0.25">
      <c r="A3" s="908" t="s">
        <v>772</v>
      </c>
      <c r="B3" s="908"/>
      <c r="C3" s="908"/>
      <c r="D3" s="908"/>
      <c r="E3" s="908"/>
      <c r="F3" s="94"/>
      <c r="G3" s="94"/>
      <c r="H3" s="94"/>
    </row>
    <row r="5" spans="1:8" ht="40.5" customHeight="1" x14ac:dyDescent="0.25">
      <c r="A5" s="909" t="s">
        <v>900</v>
      </c>
      <c r="B5" s="872" t="s">
        <v>826</v>
      </c>
      <c r="C5" s="872" t="s">
        <v>699</v>
      </c>
      <c r="D5" s="867" t="s">
        <v>898</v>
      </c>
      <c r="E5" s="869"/>
    </row>
    <row r="6" spans="1:8" x14ac:dyDescent="0.25">
      <c r="A6" s="910"/>
      <c r="B6" s="874"/>
      <c r="C6" s="874"/>
      <c r="D6" s="92" t="s">
        <v>601</v>
      </c>
      <c r="E6" s="93" t="s">
        <v>602</v>
      </c>
    </row>
    <row r="7" spans="1:8" ht="38.25" x14ac:dyDescent="0.25">
      <c r="A7" s="108">
        <v>1</v>
      </c>
      <c r="B7" s="646" t="s">
        <v>104</v>
      </c>
      <c r="C7" s="141">
        <f>D7</f>
        <v>52761</v>
      </c>
      <c r="D7" s="140">
        <f>D8</f>
        <v>52761</v>
      </c>
      <c r="E7" s="170">
        <v>0</v>
      </c>
    </row>
    <row r="8" spans="1:8" x14ac:dyDescent="0.25">
      <c r="A8" s="108"/>
      <c r="B8" s="521" t="s">
        <v>889</v>
      </c>
      <c r="C8" s="534">
        <f>D8</f>
        <v>52761</v>
      </c>
      <c r="D8" s="522">
        <v>52761</v>
      </c>
      <c r="E8" s="198">
        <v>0</v>
      </c>
    </row>
    <row r="9" spans="1:8" x14ac:dyDescent="0.25">
      <c r="A9" s="108">
        <v>2</v>
      </c>
      <c r="B9" s="646" t="s">
        <v>771</v>
      </c>
      <c r="C9" s="141">
        <f>D9</f>
        <v>595604</v>
      </c>
      <c r="D9" s="140">
        <f>D10+D11+D12</f>
        <v>595604</v>
      </c>
      <c r="E9" s="170">
        <v>0</v>
      </c>
    </row>
    <row r="10" spans="1:8" x14ac:dyDescent="0.25">
      <c r="A10" s="108"/>
      <c r="B10" s="646" t="s">
        <v>81</v>
      </c>
      <c r="C10" s="141"/>
      <c r="D10" s="522">
        <f>48*6074+6250</f>
        <v>297802</v>
      </c>
      <c r="E10" s="170"/>
    </row>
    <row r="11" spans="1:8" x14ac:dyDescent="0.25">
      <c r="A11" s="108"/>
      <c r="B11" s="646" t="s">
        <v>82</v>
      </c>
      <c r="C11" s="141"/>
      <c r="D11" s="522">
        <f>6074*29+3750</f>
        <v>179896</v>
      </c>
      <c r="E11" s="170"/>
    </row>
    <row r="12" spans="1:8" x14ac:dyDescent="0.25">
      <c r="A12" s="108"/>
      <c r="B12" s="646" t="s">
        <v>83</v>
      </c>
      <c r="C12" s="141"/>
      <c r="D12" s="522">
        <f>6074*19+2500</f>
        <v>117906</v>
      </c>
      <c r="E12" s="170"/>
    </row>
    <row r="13" spans="1:8" ht="20.25" customHeight="1" x14ac:dyDescent="0.25">
      <c r="A13" s="882" t="s">
        <v>828</v>
      </c>
      <c r="B13" s="884"/>
      <c r="C13" s="139">
        <f>C7+C9</f>
        <v>648365</v>
      </c>
      <c r="D13" s="139">
        <f>D7+D9</f>
        <v>648365</v>
      </c>
      <c r="E13" s="139">
        <f>E7+E9</f>
        <v>0</v>
      </c>
    </row>
    <row r="17" spans="1:5" x14ac:dyDescent="0.25">
      <c r="A17" s="195" t="s">
        <v>824</v>
      </c>
      <c r="E17" s="520" t="s">
        <v>825</v>
      </c>
    </row>
    <row r="19" spans="1:5" x14ac:dyDescent="0.25">
      <c r="A19" s="195" t="s">
        <v>99</v>
      </c>
      <c r="E19" s="195" t="s">
        <v>897</v>
      </c>
    </row>
    <row r="23" spans="1:5" x14ac:dyDescent="0.25">
      <c r="D23" s="196">
        <f>'[3]смета от 11.01.2012'!$C$28</f>
        <v>956457.03</v>
      </c>
    </row>
    <row r="24" spans="1:5" x14ac:dyDescent="0.25">
      <c r="D24" s="520">
        <f>D23-D13</f>
        <v>308092.03000000003</v>
      </c>
    </row>
  </sheetData>
  <mergeCells count="6">
    <mergeCell ref="A13:B13"/>
    <mergeCell ref="A3:E3"/>
    <mergeCell ref="C5:C6"/>
    <mergeCell ref="A5:A6"/>
    <mergeCell ref="B5:B6"/>
    <mergeCell ref="D5:E5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73"/>
  <sheetViews>
    <sheetView topLeftCell="A52" workbookViewId="0">
      <selection activeCell="A3" sqref="A3:G66"/>
    </sheetView>
  </sheetViews>
  <sheetFormatPr defaultRowHeight="15" x14ac:dyDescent="0.25"/>
  <cols>
    <col min="1" max="1" width="29.42578125" style="64" customWidth="1"/>
    <col min="2" max="2" width="9.140625" style="64" customWidth="1"/>
    <col min="3" max="3" width="10" style="64" customWidth="1"/>
    <col min="4" max="5" width="7.42578125" style="64" customWidth="1"/>
    <col min="6" max="6" width="8.28515625" style="64" customWidth="1"/>
    <col min="7" max="7" width="8.28515625" customWidth="1"/>
    <col min="9" max="9" width="11" customWidth="1"/>
    <col min="10" max="11" width="9.5703125" bestFit="1" customWidth="1"/>
  </cols>
  <sheetData>
    <row r="3" spans="1:11" ht="32.25" customHeight="1" x14ac:dyDescent="0.25">
      <c r="A3" s="908" t="s">
        <v>486</v>
      </c>
      <c r="B3" s="908"/>
      <c r="C3" s="908"/>
      <c r="D3" s="908"/>
      <c r="E3" s="908"/>
      <c r="F3" s="908"/>
      <c r="G3" s="908"/>
      <c r="H3" s="199"/>
      <c r="I3" s="199"/>
      <c r="J3" s="199"/>
    </row>
    <row r="4" spans="1:11" ht="21" customHeight="1" x14ac:dyDescent="0.25">
      <c r="A4" s="631"/>
      <c r="B4" s="631"/>
      <c r="C4" s="632"/>
      <c r="D4" s="632"/>
      <c r="E4" s="632"/>
      <c r="F4" s="632"/>
      <c r="G4" s="632"/>
      <c r="H4" s="94"/>
      <c r="I4" s="94"/>
      <c r="J4" s="94"/>
    </row>
    <row r="5" spans="1:11" ht="38.25" customHeight="1" x14ac:dyDescent="0.25">
      <c r="A5" s="872" t="s">
        <v>17</v>
      </c>
      <c r="B5" s="872" t="s">
        <v>827</v>
      </c>
      <c r="C5" s="867" t="s">
        <v>898</v>
      </c>
      <c r="D5" s="868"/>
      <c r="E5" s="868"/>
      <c r="F5" s="869"/>
      <c r="G5" s="493" t="s">
        <v>594</v>
      </c>
      <c r="I5" t="s">
        <v>837</v>
      </c>
    </row>
    <row r="6" spans="1:11" ht="13.5" customHeight="1" x14ac:dyDescent="0.25">
      <c r="A6" s="873"/>
      <c r="B6" s="873"/>
      <c r="C6" s="93" t="s">
        <v>96</v>
      </c>
      <c r="D6" s="903" t="s">
        <v>97</v>
      </c>
      <c r="E6" s="904"/>
      <c r="F6" s="904"/>
      <c r="G6" s="905"/>
      <c r="I6">
        <v>16</v>
      </c>
      <c r="J6" s="76">
        <f>C9+C16+C51</f>
        <v>75021.649999999994</v>
      </c>
    </row>
    <row r="7" spans="1:11" ht="13.5" customHeight="1" x14ac:dyDescent="0.25">
      <c r="A7" s="874"/>
      <c r="B7" s="874"/>
      <c r="C7" s="93"/>
      <c r="D7" s="519">
        <v>401102</v>
      </c>
      <c r="E7" s="519">
        <v>401202</v>
      </c>
      <c r="F7" s="519" t="s">
        <v>854</v>
      </c>
      <c r="G7" s="71"/>
      <c r="J7" s="76"/>
    </row>
    <row r="8" spans="1:11" ht="24.75" customHeight="1" x14ac:dyDescent="0.25">
      <c r="A8" s="153" t="s">
        <v>901</v>
      </c>
      <c r="B8" s="119">
        <f t="shared" ref="B8:B27" si="0">C8+F8</f>
        <v>606909.55000000005</v>
      </c>
      <c r="C8" s="139">
        <f>C9+C10+C11+C12+C13+C14</f>
        <v>606909.55000000005</v>
      </c>
      <c r="D8" s="139"/>
      <c r="E8" s="139"/>
      <c r="F8" s="139">
        <f>F9+F10+F12+F13</f>
        <v>0</v>
      </c>
      <c r="G8" s="647">
        <f>G9+G10+G12+G13</f>
        <v>500000</v>
      </c>
      <c r="I8">
        <v>15</v>
      </c>
      <c r="J8" s="76" t="e">
        <f>#REF!+#REF!+C30+C36+C41+C43+C55+C56+C57+C58</f>
        <v>#REF!</v>
      </c>
      <c r="K8" s="76">
        <f>'[4]расходы на 2012 год'!$G$97</f>
        <v>238872.48</v>
      </c>
    </row>
    <row r="9" spans="1:11" ht="12.95" customHeight="1" x14ac:dyDescent="0.25">
      <c r="A9" s="468" t="s">
        <v>889</v>
      </c>
      <c r="B9" s="531">
        <f t="shared" si="0"/>
        <v>70721.649999999994</v>
      </c>
      <c r="C9" s="514">
        <v>70721.649999999994</v>
      </c>
      <c r="D9" s="536"/>
      <c r="E9" s="536"/>
      <c r="F9" s="535"/>
      <c r="G9" s="648"/>
      <c r="I9">
        <v>14</v>
      </c>
      <c r="J9" s="76">
        <f>C17+C45+C49</f>
        <v>15910.88</v>
      </c>
    </row>
    <row r="10" spans="1:11" ht="12.95" customHeight="1" x14ac:dyDescent="0.25">
      <c r="A10" s="468" t="s">
        <v>902</v>
      </c>
      <c r="B10" s="531">
        <f t="shared" si="0"/>
        <v>4880.8900000000003</v>
      </c>
      <c r="C10" s="536">
        <v>4880.8900000000003</v>
      </c>
      <c r="D10" s="536"/>
      <c r="E10" s="536"/>
      <c r="F10" s="535"/>
      <c r="G10" s="648"/>
      <c r="I10">
        <v>13</v>
      </c>
      <c r="J10" s="76" t="e">
        <f>#REF!+C40+C53+C54</f>
        <v>#REF!</v>
      </c>
    </row>
    <row r="11" spans="1:11" ht="12.95" customHeight="1" x14ac:dyDescent="0.25">
      <c r="A11" s="468" t="s">
        <v>437</v>
      </c>
      <c r="B11" s="531"/>
      <c r="C11" s="536">
        <f>34307.01</f>
        <v>34307.01</v>
      </c>
      <c r="D11" s="536"/>
      <c r="E11" s="536"/>
      <c r="F11" s="535"/>
      <c r="G11" s="648"/>
      <c r="J11" s="76"/>
    </row>
    <row r="12" spans="1:11" ht="21.75" customHeight="1" x14ac:dyDescent="0.25">
      <c r="A12" s="468" t="s">
        <v>458</v>
      </c>
      <c r="B12" s="531">
        <f t="shared" si="0"/>
        <v>180000</v>
      </c>
      <c r="C12" s="514">
        <v>180000</v>
      </c>
      <c r="D12" s="514"/>
      <c r="E12" s="514"/>
      <c r="F12" s="514"/>
      <c r="G12" s="649">
        <v>500000</v>
      </c>
      <c r="J12" s="76"/>
    </row>
    <row r="13" spans="1:11" ht="22.9" customHeight="1" x14ac:dyDescent="0.25">
      <c r="A13" s="537" t="s">
        <v>485</v>
      </c>
      <c r="B13" s="531">
        <f t="shared" si="0"/>
        <v>92000</v>
      </c>
      <c r="C13" s="538">
        <v>92000</v>
      </c>
      <c r="D13" s="538"/>
      <c r="E13" s="538"/>
      <c r="F13" s="538"/>
      <c r="G13" s="650"/>
      <c r="I13" s="143">
        <v>11</v>
      </c>
      <c r="J13" s="76" t="e">
        <f>C18+#REF!+C38+C44+C47</f>
        <v>#REF!</v>
      </c>
    </row>
    <row r="14" spans="1:11" ht="22.5" customHeight="1" x14ac:dyDescent="0.25">
      <c r="A14" s="537" t="s">
        <v>595</v>
      </c>
      <c r="B14" s="531">
        <f t="shared" si="0"/>
        <v>225000</v>
      </c>
      <c r="C14" s="538">
        <v>225000</v>
      </c>
      <c r="D14" s="538"/>
      <c r="E14" s="538"/>
      <c r="F14" s="538"/>
      <c r="G14" s="650"/>
      <c r="I14" s="143"/>
      <c r="J14" s="76"/>
    </row>
    <row r="15" spans="1:11" ht="13.5" customHeight="1" x14ac:dyDescent="0.25">
      <c r="A15" s="153" t="s">
        <v>905</v>
      </c>
      <c r="B15" s="119">
        <f t="shared" si="0"/>
        <v>22158.18</v>
      </c>
      <c r="C15" s="139">
        <f>C16+C17+C18</f>
        <v>22158.18</v>
      </c>
      <c r="D15" s="139"/>
      <c r="E15" s="139"/>
      <c r="F15" s="139">
        <f>F16+F17+F18</f>
        <v>0</v>
      </c>
      <c r="G15" s="651"/>
      <c r="I15">
        <v>8</v>
      </c>
      <c r="J15" s="76" t="e">
        <f>#REF!+C29+C32+C33+C37</f>
        <v>#REF!</v>
      </c>
    </row>
    <row r="16" spans="1:11" ht="12.95" customHeight="1" x14ac:dyDescent="0.25">
      <c r="A16" s="468" t="s">
        <v>889</v>
      </c>
      <c r="B16" s="531">
        <f t="shared" si="0"/>
        <v>2100</v>
      </c>
      <c r="C16" s="514">
        <v>2100</v>
      </c>
      <c r="D16" s="514"/>
      <c r="E16" s="514"/>
      <c r="F16" s="539"/>
      <c r="G16" s="648"/>
      <c r="J16" s="76" t="e">
        <f>C62-J6-J8-J9-J10-J13-#REF!-J15</f>
        <v>#REF!</v>
      </c>
    </row>
    <row r="17" spans="1:10" ht="12.95" customHeight="1" x14ac:dyDescent="0.25">
      <c r="A17" s="468" t="s">
        <v>906</v>
      </c>
      <c r="B17" s="531">
        <f t="shared" si="0"/>
        <v>9634.8799999999992</v>
      </c>
      <c r="C17" s="536">
        <v>9634.8799999999992</v>
      </c>
      <c r="D17" s="536"/>
      <c r="E17" s="536"/>
      <c r="F17" s="535"/>
      <c r="G17" s="648"/>
    </row>
    <row r="18" spans="1:10" ht="12.95" customHeight="1" x14ac:dyDescent="0.25">
      <c r="A18" s="468" t="s">
        <v>882</v>
      </c>
      <c r="B18" s="531">
        <f t="shared" si="0"/>
        <v>10423.299999999999</v>
      </c>
      <c r="C18" s="514">
        <v>10423.299999999999</v>
      </c>
      <c r="D18" s="514"/>
      <c r="E18" s="514"/>
      <c r="F18" s="535"/>
      <c r="G18" s="648"/>
    </row>
    <row r="19" spans="1:10" ht="51.75" customHeight="1" x14ac:dyDescent="0.25">
      <c r="A19" s="153" t="s">
        <v>612</v>
      </c>
      <c r="B19" s="119">
        <f t="shared" si="0"/>
        <v>40068.959999999999</v>
      </c>
      <c r="C19" s="119">
        <f>C20+C24</f>
        <v>13222.76</v>
      </c>
      <c r="D19" s="139">
        <f>D20+D24</f>
        <v>21476.97</v>
      </c>
      <c r="E19" s="139">
        <f>E20+E24</f>
        <v>5369.23</v>
      </c>
      <c r="F19" s="139">
        <f>D19+E19</f>
        <v>26846.2</v>
      </c>
      <c r="G19" s="648"/>
    </row>
    <row r="20" spans="1:10" ht="12.95" customHeight="1" x14ac:dyDescent="0.25">
      <c r="A20" s="614" t="s">
        <v>61</v>
      </c>
      <c r="B20" s="119">
        <f t="shared" si="0"/>
        <v>18600</v>
      </c>
      <c r="C20" s="119">
        <f>C21+C22+C23</f>
        <v>6138</v>
      </c>
      <c r="D20" s="119">
        <f>D21+D22+D23</f>
        <v>7295.5</v>
      </c>
      <c r="E20" s="119">
        <f>E21+E22+E23</f>
        <v>5166.5</v>
      </c>
      <c r="F20" s="119">
        <f>D20+E20</f>
        <v>12462</v>
      </c>
      <c r="G20" s="648"/>
    </row>
    <row r="21" spans="1:10" ht="12.95" customHeight="1" x14ac:dyDescent="0.25">
      <c r="A21" s="468" t="s">
        <v>880</v>
      </c>
      <c r="B21" s="531">
        <f t="shared" si="0"/>
        <v>10888.8</v>
      </c>
      <c r="C21" s="513">
        <f>(3629.6*0.25)*12*33%</f>
        <v>3593.3</v>
      </c>
      <c r="D21" s="531">
        <f>F21</f>
        <v>7295.5</v>
      </c>
      <c r="E21" s="531">
        <f>F21-D21</f>
        <v>0</v>
      </c>
      <c r="F21" s="513">
        <f>(3629.6*0.25)*12*67%</f>
        <v>7295.5</v>
      </c>
      <c r="G21" s="648"/>
      <c r="H21" s="76">
        <f>C21+C25</f>
        <v>3756.48</v>
      </c>
      <c r="I21" s="76">
        <f>'[5]расходы на 2012 год'!$G$97</f>
        <v>3756.48</v>
      </c>
    </row>
    <row r="22" spans="1:10" ht="12.95" customHeight="1" x14ac:dyDescent="0.25">
      <c r="A22" s="468" t="s">
        <v>908</v>
      </c>
      <c r="B22" s="531">
        <f t="shared" si="0"/>
        <v>1516.2</v>
      </c>
      <c r="C22" s="513">
        <f>(505.4*0.25)*33%*12-0.01</f>
        <v>500.34</v>
      </c>
      <c r="D22" s="531"/>
      <c r="E22" s="531">
        <f>F22-D22</f>
        <v>1015.86</v>
      </c>
      <c r="F22" s="513">
        <f>(505.4*0.25)*67%*12+0.01</f>
        <v>1015.86</v>
      </c>
      <c r="G22" s="648"/>
      <c r="H22" s="76">
        <f>C22+C26</f>
        <v>1861.28</v>
      </c>
      <c r="I22" s="76">
        <f>'[6]расходы план на 2012 год'!$G$55</f>
        <v>1861.28</v>
      </c>
    </row>
    <row r="23" spans="1:10" ht="12.95" customHeight="1" x14ac:dyDescent="0.25">
      <c r="A23" s="468" t="s">
        <v>888</v>
      </c>
      <c r="B23" s="531">
        <f t="shared" si="0"/>
        <v>6195</v>
      </c>
      <c r="C23" s="530">
        <f>(2065*0.25)*12*33%+0.01</f>
        <v>2044.36</v>
      </c>
      <c r="D23" s="531"/>
      <c r="E23" s="531">
        <f>F23-D23</f>
        <v>4150.6400000000003</v>
      </c>
      <c r="F23" s="530">
        <f>(2065*0.25)*12*67%-0.01</f>
        <v>4150.6400000000003</v>
      </c>
      <c r="G23" s="648"/>
      <c r="H23" s="76">
        <f>C23+C27</f>
        <v>7605</v>
      </c>
      <c r="I23" s="76">
        <f>'[7]расходы на 2012 год общежитие'!$G$35+'[7]расходы на 2012 год общежитие'!$G$36</f>
        <v>7605</v>
      </c>
    </row>
    <row r="24" spans="1:10" ht="12.95" customHeight="1" x14ac:dyDescent="0.25">
      <c r="A24" s="614" t="s">
        <v>62</v>
      </c>
      <c r="B24" s="119">
        <f t="shared" si="0"/>
        <v>21468.959999999999</v>
      </c>
      <c r="C24" s="119">
        <f>C25+C26+C27</f>
        <v>7084.76</v>
      </c>
      <c r="D24" s="119">
        <f>D25+D26+D27</f>
        <v>14181.47</v>
      </c>
      <c r="E24" s="119">
        <f>E25+E26+E27</f>
        <v>202.73</v>
      </c>
      <c r="F24" s="119">
        <f>F25+F26+F27</f>
        <v>14384.2</v>
      </c>
      <c r="G24" s="648"/>
    </row>
    <row r="25" spans="1:10" ht="12.95" customHeight="1" x14ac:dyDescent="0.25">
      <c r="A25" s="468" t="s">
        <v>880</v>
      </c>
      <c r="B25" s="531">
        <f t="shared" si="0"/>
        <v>494.49</v>
      </c>
      <c r="C25" s="513">
        <f>(60.6*0.68)*12*33%</f>
        <v>163.18</v>
      </c>
      <c r="D25" s="513">
        <v>128.58000000000001</v>
      </c>
      <c r="E25" s="513">
        <f>F25-D25</f>
        <v>202.73</v>
      </c>
      <c r="F25" s="513">
        <f>(60.6*0.68)*12*67%</f>
        <v>331.31</v>
      </c>
      <c r="G25" s="648"/>
    </row>
    <row r="26" spans="1:10" ht="12.95" customHeight="1" x14ac:dyDescent="0.25">
      <c r="A26" s="468" t="s">
        <v>908</v>
      </c>
      <c r="B26" s="531">
        <f t="shared" si="0"/>
        <v>4124.0600000000004</v>
      </c>
      <c r="C26" s="513">
        <f>(505.4*0.68)*33%*12</f>
        <v>1360.94</v>
      </c>
      <c r="D26" s="513">
        <f>F26</f>
        <v>2763.12</v>
      </c>
      <c r="E26" s="513"/>
      <c r="F26" s="513">
        <f>(505.4*0.68)*67%*12</f>
        <v>2763.12</v>
      </c>
      <c r="G26" s="648"/>
      <c r="I26">
        <v>80</v>
      </c>
      <c r="J26" t="s">
        <v>4</v>
      </c>
    </row>
    <row r="27" spans="1:10" ht="12.95" customHeight="1" x14ac:dyDescent="0.25">
      <c r="A27" s="468" t="s">
        <v>888</v>
      </c>
      <c r="B27" s="531">
        <f t="shared" si="0"/>
        <v>16850.41</v>
      </c>
      <c r="C27" s="530">
        <f>(2065*0.68)*12*33%+0.01</f>
        <v>5560.64</v>
      </c>
      <c r="D27" s="530">
        <f>F27</f>
        <v>11289.77</v>
      </c>
      <c r="E27" s="530"/>
      <c r="F27" s="530">
        <f>(2065*0.68)*12*67%</f>
        <v>11289.77</v>
      </c>
      <c r="G27" s="648"/>
      <c r="I27">
        <v>20</v>
      </c>
      <c r="J27" t="s">
        <v>5</v>
      </c>
    </row>
    <row r="28" spans="1:10" ht="36.75" customHeight="1" x14ac:dyDescent="0.25">
      <c r="A28" s="83" t="s">
        <v>618</v>
      </c>
      <c r="B28" s="119">
        <f>B29+B30</f>
        <v>59732.24</v>
      </c>
      <c r="C28" s="119">
        <f>C29+C30</f>
        <v>59732.24</v>
      </c>
      <c r="D28" s="119"/>
      <c r="E28" s="119"/>
      <c r="F28" s="119">
        <f>F29+F30</f>
        <v>0</v>
      </c>
      <c r="G28" s="651"/>
      <c r="I28">
        <f>I26+I27</f>
        <v>100</v>
      </c>
    </row>
    <row r="29" spans="1:10" ht="12.95" customHeight="1" x14ac:dyDescent="0.25">
      <c r="A29" s="468" t="s">
        <v>903</v>
      </c>
      <c r="B29" s="530">
        <f>C29+F29</f>
        <v>23792.240000000002</v>
      </c>
      <c r="C29" s="513">
        <f>(22.8*62.38*1.18+1.984*130.03*1.18)*12-0.01</f>
        <v>23792.240000000002</v>
      </c>
      <c r="D29" s="513"/>
      <c r="E29" s="513"/>
      <c r="F29" s="535"/>
      <c r="G29" s="648"/>
    </row>
    <row r="30" spans="1:10" ht="24.75" customHeight="1" x14ac:dyDescent="0.25">
      <c r="A30" s="468" t="s">
        <v>786</v>
      </c>
      <c r="B30" s="530">
        <f>C30+F30</f>
        <v>35940</v>
      </c>
      <c r="C30" s="514">
        <f>2995*12</f>
        <v>35940</v>
      </c>
      <c r="D30" s="514"/>
      <c r="E30" s="514"/>
      <c r="F30" s="535"/>
      <c r="G30" s="648"/>
    </row>
    <row r="31" spans="1:10" ht="37.5" customHeight="1" x14ac:dyDescent="0.25">
      <c r="A31" s="83" t="s">
        <v>616</v>
      </c>
      <c r="B31" s="119">
        <f>B34</f>
        <v>63186.35</v>
      </c>
      <c r="C31" s="119">
        <f>C34</f>
        <v>63186.35</v>
      </c>
      <c r="D31" s="119"/>
      <c r="E31" s="119"/>
      <c r="F31" s="119">
        <f>F32</f>
        <v>0</v>
      </c>
      <c r="G31" s="651"/>
    </row>
    <row r="32" spans="1:10" ht="12.95" customHeight="1" x14ac:dyDescent="0.25">
      <c r="A32" s="468" t="s">
        <v>613</v>
      </c>
      <c r="B32" s="530">
        <f>C32+F32</f>
        <v>16074.23</v>
      </c>
      <c r="C32" s="536">
        <v>16074.23</v>
      </c>
      <c r="D32" s="536"/>
      <c r="E32" s="536"/>
      <c r="F32" s="535"/>
      <c r="G32" s="648"/>
    </row>
    <row r="33" spans="1:8" ht="12.95" customHeight="1" x14ac:dyDescent="0.25">
      <c r="A33" s="468" t="s">
        <v>614</v>
      </c>
      <c r="B33" s="530">
        <f>C33+F33</f>
        <v>47112.12</v>
      </c>
      <c r="C33" s="536">
        <v>47112.12</v>
      </c>
      <c r="D33" s="536"/>
      <c r="E33" s="536"/>
      <c r="F33" s="535"/>
      <c r="G33" s="648"/>
    </row>
    <row r="34" spans="1:8" ht="12.95" customHeight="1" x14ac:dyDescent="0.25">
      <c r="A34" s="468" t="s">
        <v>903</v>
      </c>
      <c r="B34" s="530">
        <f>B32+B33</f>
        <v>63186.35</v>
      </c>
      <c r="C34" s="530">
        <f>C32+C33</f>
        <v>63186.35</v>
      </c>
      <c r="D34" s="536"/>
      <c r="E34" s="536"/>
      <c r="F34" s="535"/>
      <c r="G34" s="648"/>
    </row>
    <row r="35" spans="1:8" ht="12" customHeight="1" x14ac:dyDescent="0.25">
      <c r="A35" s="83" t="s">
        <v>907</v>
      </c>
      <c r="B35" s="119">
        <f t="shared" ref="B35:B61" si="1">C35+F35</f>
        <v>37500</v>
      </c>
      <c r="C35" s="119">
        <f>C36+C37+C38</f>
        <v>37500</v>
      </c>
      <c r="D35" s="119"/>
      <c r="E35" s="119"/>
      <c r="F35" s="119">
        <f>F36+F37+F38</f>
        <v>0</v>
      </c>
      <c r="G35" s="651"/>
    </row>
    <row r="36" spans="1:8" ht="12.95" customHeight="1" x14ac:dyDescent="0.25">
      <c r="A36" s="468" t="s">
        <v>904</v>
      </c>
      <c r="B36" s="531">
        <f t="shared" si="1"/>
        <v>13500</v>
      </c>
      <c r="C36" s="514">
        <f>6750*2</f>
        <v>13500</v>
      </c>
      <c r="D36" s="514"/>
      <c r="E36" s="514"/>
      <c r="F36" s="535"/>
      <c r="G36" s="648"/>
    </row>
    <row r="37" spans="1:8" ht="12.95" customHeight="1" x14ac:dyDescent="0.25">
      <c r="A37" s="468" t="s">
        <v>903</v>
      </c>
      <c r="B37" s="531">
        <f t="shared" si="1"/>
        <v>12000</v>
      </c>
      <c r="C37" s="514">
        <v>12000</v>
      </c>
      <c r="D37" s="514"/>
      <c r="E37" s="514"/>
      <c r="F37" s="535"/>
      <c r="G37" s="648"/>
    </row>
    <row r="38" spans="1:8" ht="12.95" customHeight="1" x14ac:dyDescent="0.25">
      <c r="A38" s="468" t="s">
        <v>882</v>
      </c>
      <c r="B38" s="531">
        <f t="shared" si="1"/>
        <v>12000</v>
      </c>
      <c r="C38" s="514">
        <f>12000</f>
        <v>12000</v>
      </c>
      <c r="D38" s="514"/>
      <c r="E38" s="514"/>
      <c r="F38" s="535"/>
      <c r="G38" s="648"/>
    </row>
    <row r="39" spans="1:8" ht="37.5" customHeight="1" x14ac:dyDescent="0.25">
      <c r="A39" s="83" t="s">
        <v>615</v>
      </c>
      <c r="B39" s="119">
        <f t="shared" si="1"/>
        <v>90000</v>
      </c>
      <c r="C39" s="119">
        <f>C40</f>
        <v>29700</v>
      </c>
      <c r="D39" s="119">
        <f>D40+D41</f>
        <v>48240</v>
      </c>
      <c r="E39" s="119">
        <f>E40+E41</f>
        <v>12060</v>
      </c>
      <c r="F39" s="119">
        <f>F40+F41</f>
        <v>60300</v>
      </c>
      <c r="G39" s="651"/>
    </row>
    <row r="40" spans="1:8" ht="12.2" customHeight="1" x14ac:dyDescent="0.25">
      <c r="A40" s="468" t="s">
        <v>710</v>
      </c>
      <c r="B40" s="531">
        <f t="shared" si="1"/>
        <v>29700</v>
      </c>
      <c r="C40" s="514">
        <f>7500*12*33%</f>
        <v>29700</v>
      </c>
      <c r="D40" s="514"/>
      <c r="E40" s="514"/>
      <c r="F40" s="514"/>
      <c r="G40" s="648"/>
    </row>
    <row r="41" spans="1:8" ht="12.95" customHeight="1" x14ac:dyDescent="0.25">
      <c r="A41" s="468" t="s">
        <v>683</v>
      </c>
      <c r="B41" s="531">
        <f t="shared" si="1"/>
        <v>60300</v>
      </c>
      <c r="C41" s="514"/>
      <c r="D41" s="514">
        <f>F41*I26%</f>
        <v>48240</v>
      </c>
      <c r="E41" s="514">
        <f>F41*I27%</f>
        <v>12060</v>
      </c>
      <c r="F41" s="514">
        <f>7500*12*67%</f>
        <v>60300</v>
      </c>
      <c r="G41" s="648"/>
    </row>
    <row r="42" spans="1:8" ht="39" customHeight="1" x14ac:dyDescent="0.25">
      <c r="A42" s="636" t="s">
        <v>617</v>
      </c>
      <c r="B42" s="119">
        <f t="shared" si="1"/>
        <v>22704</v>
      </c>
      <c r="C42" s="119">
        <f>C43+C44+C45</f>
        <v>22704</v>
      </c>
      <c r="D42" s="119"/>
      <c r="E42" s="119"/>
      <c r="F42" s="119">
        <f>F43+F44+F45</f>
        <v>0</v>
      </c>
      <c r="G42" s="651"/>
    </row>
    <row r="43" spans="1:8" ht="12.95" customHeight="1" x14ac:dyDescent="0.25">
      <c r="A43" s="468" t="s">
        <v>880</v>
      </c>
      <c r="B43" s="531">
        <f t="shared" si="1"/>
        <v>5676</v>
      </c>
      <c r="C43" s="514">
        <f>473*12</f>
        <v>5676</v>
      </c>
      <c r="D43" s="514"/>
      <c r="E43" s="514"/>
      <c r="F43" s="535"/>
      <c r="G43" s="648"/>
      <c r="H43">
        <f>7500*12</f>
        <v>90000</v>
      </c>
    </row>
    <row r="44" spans="1:8" ht="12.95" customHeight="1" x14ac:dyDescent="0.25">
      <c r="A44" s="468" t="s">
        <v>908</v>
      </c>
      <c r="B44" s="531">
        <f t="shared" si="1"/>
        <v>11352</v>
      </c>
      <c r="C44" s="514">
        <f>473*2*12</f>
        <v>11352</v>
      </c>
      <c r="D44" s="514"/>
      <c r="E44" s="514"/>
      <c r="F44" s="535"/>
      <c r="G44" s="648"/>
    </row>
    <row r="45" spans="1:8" ht="12.95" customHeight="1" x14ac:dyDescent="0.25">
      <c r="A45" s="468" t="s">
        <v>906</v>
      </c>
      <c r="B45" s="531">
        <f t="shared" si="1"/>
        <v>5676</v>
      </c>
      <c r="C45" s="514">
        <f>473*12</f>
        <v>5676</v>
      </c>
      <c r="D45" s="514"/>
      <c r="E45" s="514"/>
      <c r="F45" s="535"/>
      <c r="G45" s="648"/>
    </row>
    <row r="46" spans="1:8" ht="12.95" customHeight="1" x14ac:dyDescent="0.25">
      <c r="A46" s="153" t="s">
        <v>909</v>
      </c>
      <c r="B46" s="119">
        <f t="shared" si="1"/>
        <v>9993.5</v>
      </c>
      <c r="C46" s="193">
        <f>C47</f>
        <v>9993.5</v>
      </c>
      <c r="D46" s="193"/>
      <c r="E46" s="193"/>
      <c r="F46" s="139">
        <f>F47</f>
        <v>0</v>
      </c>
      <c r="G46" s="651"/>
    </row>
    <row r="47" spans="1:8" ht="12.95" customHeight="1" x14ac:dyDescent="0.25">
      <c r="A47" s="468" t="s">
        <v>908</v>
      </c>
      <c r="B47" s="531">
        <f t="shared" si="1"/>
        <v>9993.5</v>
      </c>
      <c r="C47" s="514">
        <f>9993.5</f>
        <v>9993.5</v>
      </c>
      <c r="D47" s="514"/>
      <c r="E47" s="514"/>
      <c r="F47" s="535"/>
      <c r="G47" s="648"/>
    </row>
    <row r="48" spans="1:8" ht="12.95" customHeight="1" x14ac:dyDescent="0.25">
      <c r="A48" s="83" t="s">
        <v>910</v>
      </c>
      <c r="B48" s="119">
        <f t="shared" si="1"/>
        <v>600</v>
      </c>
      <c r="C48" s="139">
        <f>C49</f>
        <v>600</v>
      </c>
      <c r="D48" s="139"/>
      <c r="E48" s="139"/>
      <c r="F48" s="139">
        <f>F49</f>
        <v>0</v>
      </c>
      <c r="G48" s="651"/>
    </row>
    <row r="49" spans="1:9" ht="12.95" customHeight="1" x14ac:dyDescent="0.25">
      <c r="A49" s="468" t="s">
        <v>906</v>
      </c>
      <c r="B49" s="531">
        <f t="shared" si="1"/>
        <v>600</v>
      </c>
      <c r="C49" s="514">
        <v>600</v>
      </c>
      <c r="D49" s="514"/>
      <c r="E49" s="514"/>
      <c r="F49" s="535"/>
      <c r="G49" s="648"/>
    </row>
    <row r="50" spans="1:9" ht="12.95" customHeight="1" x14ac:dyDescent="0.25">
      <c r="A50" s="83" t="s">
        <v>912</v>
      </c>
      <c r="B50" s="119">
        <f t="shared" si="1"/>
        <v>2200</v>
      </c>
      <c r="C50" s="139">
        <f>C51</f>
        <v>2200</v>
      </c>
      <c r="D50" s="139"/>
      <c r="E50" s="139"/>
      <c r="F50" s="139">
        <f>F51</f>
        <v>0</v>
      </c>
      <c r="G50" s="651"/>
    </row>
    <row r="51" spans="1:9" ht="12.95" customHeight="1" x14ac:dyDescent="0.25">
      <c r="A51" s="468" t="s">
        <v>911</v>
      </c>
      <c r="B51" s="531">
        <f t="shared" si="1"/>
        <v>2200</v>
      </c>
      <c r="C51" s="514">
        <f>2200</f>
        <v>2200</v>
      </c>
      <c r="D51" s="514"/>
      <c r="E51" s="514"/>
      <c r="F51" s="535"/>
      <c r="G51" s="648"/>
    </row>
    <row r="52" spans="1:9" ht="13.5" customHeight="1" x14ac:dyDescent="0.25">
      <c r="A52" s="83" t="s">
        <v>913</v>
      </c>
      <c r="B52" s="119">
        <f t="shared" si="1"/>
        <v>38475.72</v>
      </c>
      <c r="C52" s="591">
        <f>C53+C54</f>
        <v>38475.72</v>
      </c>
      <c r="D52" s="591"/>
      <c r="E52" s="591"/>
      <c r="F52" s="139">
        <f>F53+F54</f>
        <v>0</v>
      </c>
      <c r="G52" s="651"/>
    </row>
    <row r="53" spans="1:9" ht="12.95" customHeight="1" x14ac:dyDescent="0.25">
      <c r="A53" s="468" t="s">
        <v>843</v>
      </c>
      <c r="B53" s="531">
        <f t="shared" si="1"/>
        <v>25000</v>
      </c>
      <c r="C53" s="514">
        <v>25000</v>
      </c>
      <c r="D53" s="514"/>
      <c r="E53" s="514"/>
      <c r="F53" s="535"/>
      <c r="G53" s="648"/>
    </row>
    <row r="54" spans="1:9" ht="12.95" customHeight="1" x14ac:dyDescent="0.25">
      <c r="A54" s="468" t="s">
        <v>844</v>
      </c>
      <c r="B54" s="531">
        <f t="shared" si="1"/>
        <v>13475.72</v>
      </c>
      <c r="C54" s="536">
        <f>10350+3125.72</f>
        <v>13475.72</v>
      </c>
      <c r="D54" s="536"/>
      <c r="E54" s="536"/>
      <c r="F54" s="535"/>
      <c r="G54" s="648"/>
    </row>
    <row r="55" spans="1:9" ht="25.5" customHeight="1" x14ac:dyDescent="0.25">
      <c r="A55" s="83" t="s">
        <v>914</v>
      </c>
      <c r="B55" s="119">
        <f t="shared" si="1"/>
        <v>0</v>
      </c>
      <c r="C55" s="139">
        <v>0</v>
      </c>
      <c r="D55" s="139"/>
      <c r="E55" s="139"/>
      <c r="F55" s="139"/>
      <c r="G55" s="647">
        <v>160000</v>
      </c>
    </row>
    <row r="56" spans="1:9" ht="24" customHeight="1" x14ac:dyDescent="0.25">
      <c r="A56" s="83" t="s">
        <v>637</v>
      </c>
      <c r="B56" s="119">
        <f t="shared" si="1"/>
        <v>0</v>
      </c>
      <c r="C56" s="139">
        <v>0</v>
      </c>
      <c r="D56" s="139"/>
      <c r="E56" s="139"/>
      <c r="F56" s="139"/>
      <c r="G56" s="647">
        <f>90000</f>
        <v>90000</v>
      </c>
    </row>
    <row r="57" spans="1:9" ht="14.25" customHeight="1" x14ac:dyDescent="0.25">
      <c r="A57" s="83" t="s">
        <v>638</v>
      </c>
      <c r="B57" s="119">
        <f t="shared" si="1"/>
        <v>0</v>
      </c>
      <c r="C57" s="139">
        <v>0</v>
      </c>
      <c r="D57" s="139"/>
      <c r="E57" s="139"/>
      <c r="F57" s="139"/>
      <c r="G57" s="647">
        <f>163000</f>
        <v>163000</v>
      </c>
    </row>
    <row r="58" spans="1:9" ht="24" customHeight="1" x14ac:dyDescent="0.25">
      <c r="A58" s="83" t="s">
        <v>842</v>
      </c>
      <c r="B58" s="119">
        <f t="shared" si="1"/>
        <v>0</v>
      </c>
      <c r="C58" s="139">
        <v>0</v>
      </c>
      <c r="D58" s="139"/>
      <c r="E58" s="139"/>
      <c r="F58" s="139"/>
      <c r="G58" s="647">
        <f>207000</f>
        <v>207000</v>
      </c>
    </row>
    <row r="59" spans="1:9" ht="54" customHeight="1" x14ac:dyDescent="0.25">
      <c r="A59" s="121" t="s">
        <v>759</v>
      </c>
      <c r="B59" s="119">
        <f t="shared" si="1"/>
        <v>57000</v>
      </c>
      <c r="C59" s="139">
        <f>C60+C61</f>
        <v>28500</v>
      </c>
      <c r="D59" s="139">
        <f>D60+D61</f>
        <v>22800</v>
      </c>
      <c r="E59" s="139">
        <f>E60+E61</f>
        <v>5700</v>
      </c>
      <c r="F59" s="126">
        <f>D59+E59</f>
        <v>28500</v>
      </c>
      <c r="G59" s="647"/>
    </row>
    <row r="60" spans="1:9" ht="15" customHeight="1" x14ac:dyDescent="0.25">
      <c r="A60" s="468" t="s">
        <v>760</v>
      </c>
      <c r="B60" s="531">
        <f t="shared" si="1"/>
        <v>28500</v>
      </c>
      <c r="C60" s="139"/>
      <c r="D60" s="591">
        <f>F60*I26%</f>
        <v>22800</v>
      </c>
      <c r="E60" s="591">
        <f>F60*I27%</f>
        <v>5700</v>
      </c>
      <c r="F60" s="126">
        <f>2375*12</f>
        <v>28500</v>
      </c>
      <c r="G60" s="647"/>
    </row>
    <row r="61" spans="1:9" ht="13.5" customHeight="1" x14ac:dyDescent="0.25">
      <c r="A61" s="468" t="s">
        <v>761</v>
      </c>
      <c r="B61" s="531">
        <f t="shared" si="1"/>
        <v>28500</v>
      </c>
      <c r="C61" s="591">
        <f>2375*12</f>
        <v>28500</v>
      </c>
      <c r="D61" s="591"/>
      <c r="E61" s="591"/>
      <c r="F61" s="126"/>
      <c r="G61" s="647"/>
    </row>
    <row r="62" spans="1:9" x14ac:dyDescent="0.25">
      <c r="A62" s="194" t="s">
        <v>828</v>
      </c>
      <c r="B62" s="139">
        <f t="shared" ref="B62:G62" si="2">B8+B15+B19+B28+B31+B35+B39+B42+B46+B48+B50+B52+B55+B55+B56+B57+B58+B59</f>
        <v>1050528.5</v>
      </c>
      <c r="C62" s="139">
        <f t="shared" si="2"/>
        <v>934882.3</v>
      </c>
      <c r="D62" s="139">
        <f t="shared" si="2"/>
        <v>92516.97</v>
      </c>
      <c r="E62" s="139">
        <f t="shared" si="2"/>
        <v>23129.23</v>
      </c>
      <c r="F62" s="139">
        <f t="shared" si="2"/>
        <v>115646.2</v>
      </c>
      <c r="G62" s="647">
        <f t="shared" si="2"/>
        <v>1280000</v>
      </c>
    </row>
    <row r="63" spans="1:9" x14ac:dyDescent="0.25">
      <c r="A63" s="634"/>
      <c r="B63" s="635"/>
      <c r="C63" s="635"/>
      <c r="D63" s="635"/>
      <c r="E63" s="635"/>
      <c r="F63" s="635"/>
      <c r="G63" s="635"/>
    </row>
    <row r="64" spans="1:9" x14ac:dyDescent="0.25">
      <c r="A64" s="64" t="s">
        <v>824</v>
      </c>
      <c r="C64" s="509"/>
      <c r="E64" s="509" t="s">
        <v>825</v>
      </c>
      <c r="H64" s="161">
        <v>11</v>
      </c>
      <c r="I64" s="162" t="e">
        <f>C18+#REF!+C38+C44+C47</f>
        <v>#REF!</v>
      </c>
    </row>
    <row r="65" spans="1:9" x14ac:dyDescent="0.25">
      <c r="A65" s="68"/>
      <c r="B65" s="68"/>
      <c r="C65" s="68"/>
      <c r="E65" s="68"/>
      <c r="H65" s="161">
        <v>17</v>
      </c>
      <c r="I65" s="161"/>
    </row>
    <row r="66" spans="1:9" x14ac:dyDescent="0.25">
      <c r="A66" s="64" t="s">
        <v>99</v>
      </c>
      <c r="C66" s="509">
        <v>934882.3</v>
      </c>
      <c r="E66" s="64" t="s">
        <v>897</v>
      </c>
      <c r="H66" s="161">
        <v>16</v>
      </c>
      <c r="I66" s="162">
        <f>C9+C51</f>
        <v>72921.649999999994</v>
      </c>
    </row>
    <row r="67" spans="1:9" x14ac:dyDescent="0.25">
      <c r="A67" s="64" t="s">
        <v>891</v>
      </c>
      <c r="C67" s="509">
        <f>C66-C62</f>
        <v>0</v>
      </c>
      <c r="E67" s="64" t="s">
        <v>457</v>
      </c>
    </row>
    <row r="68" spans="1:9" x14ac:dyDescent="0.25">
      <c r="C68" s="533">
        <f>'[3]смета от 11.01.2012'!$C$29</f>
        <v>1852081.68</v>
      </c>
      <c r="D68" s="584"/>
      <c r="E68" s="584"/>
    </row>
    <row r="69" spans="1:9" x14ac:dyDescent="0.25">
      <c r="C69" s="533">
        <f>C68-C62</f>
        <v>917199.38</v>
      </c>
      <c r="D69" s="584"/>
      <c r="E69" s="584"/>
    </row>
    <row r="70" spans="1:9" x14ac:dyDescent="0.25">
      <c r="C70" s="509">
        <f>B62-C62-D62-E62</f>
        <v>0</v>
      </c>
    </row>
    <row r="71" spans="1:9" x14ac:dyDescent="0.25">
      <c r="C71" s="509">
        <f>C62-934882.3</f>
        <v>0</v>
      </c>
    </row>
    <row r="72" spans="1:9" x14ac:dyDescent="0.25">
      <c r="C72" s="779">
        <f>'[8]смета от 11.01.2012'!$C$28</f>
        <v>648365</v>
      </c>
    </row>
    <row r="73" spans="1:9" x14ac:dyDescent="0.25">
      <c r="C73" s="779">
        <f>C72-C62</f>
        <v>-286517.3</v>
      </c>
    </row>
  </sheetData>
  <mergeCells count="5">
    <mergeCell ref="A5:A7"/>
    <mergeCell ref="B5:B7"/>
    <mergeCell ref="A3:G3"/>
    <mergeCell ref="C5:F5"/>
    <mergeCell ref="D6:G6"/>
  </mergeCells>
  <phoneticPr fontId="17" type="noConversion"/>
  <pageMargins left="0.70866141732283472" right="0.70866141732283472" top="0" bottom="0" header="0" footer="0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72"/>
  <sheetViews>
    <sheetView topLeftCell="A48" workbookViewId="0">
      <selection activeCell="C71" sqref="C71"/>
    </sheetView>
  </sheetViews>
  <sheetFormatPr defaultRowHeight="15" x14ac:dyDescent="0.25"/>
  <cols>
    <col min="1" max="1" width="29.42578125" style="197" customWidth="1"/>
    <col min="2" max="2" width="9.140625" style="197" customWidth="1"/>
    <col min="3" max="3" width="10" style="197" customWidth="1"/>
    <col min="4" max="5" width="7.42578125" style="197" customWidth="1"/>
    <col min="6" max="6" width="8.28515625" style="197" customWidth="1"/>
    <col min="7" max="7" width="8.28515625" customWidth="1"/>
    <col min="9" max="9" width="11" customWidth="1"/>
    <col min="10" max="11" width="9.5703125" bestFit="1" customWidth="1"/>
  </cols>
  <sheetData>
    <row r="3" spans="1:11" ht="32.25" customHeight="1" x14ac:dyDescent="0.25">
      <c r="A3" s="908" t="s">
        <v>486</v>
      </c>
      <c r="B3" s="908"/>
      <c r="C3" s="908"/>
      <c r="D3" s="908"/>
      <c r="E3" s="908"/>
      <c r="F3" s="908"/>
      <c r="G3" s="908"/>
      <c r="H3" s="199"/>
      <c r="I3" s="199"/>
      <c r="J3" s="199"/>
    </row>
    <row r="4" spans="1:11" ht="21" customHeight="1" x14ac:dyDescent="0.25">
      <c r="A4" s="631"/>
      <c r="B4" s="631"/>
      <c r="C4" s="632"/>
      <c r="D4" s="632"/>
      <c r="E4" s="632"/>
      <c r="F4" s="632"/>
      <c r="G4" s="632"/>
      <c r="H4" s="94"/>
      <c r="I4" s="94"/>
      <c r="J4" s="94"/>
    </row>
    <row r="5" spans="1:11" ht="38.25" customHeight="1" x14ac:dyDescent="0.25">
      <c r="A5" s="872" t="s">
        <v>17</v>
      </c>
      <c r="B5" s="872" t="s">
        <v>827</v>
      </c>
      <c r="C5" s="867" t="s">
        <v>898</v>
      </c>
      <c r="D5" s="868"/>
      <c r="E5" s="868"/>
      <c r="F5" s="869"/>
      <c r="G5" s="493" t="s">
        <v>594</v>
      </c>
      <c r="I5" t="s">
        <v>837</v>
      </c>
    </row>
    <row r="6" spans="1:11" ht="13.5" customHeight="1" x14ac:dyDescent="0.25">
      <c r="A6" s="873"/>
      <c r="B6" s="873"/>
      <c r="C6" s="93" t="s">
        <v>96</v>
      </c>
      <c r="D6" s="903" t="s">
        <v>97</v>
      </c>
      <c r="E6" s="904"/>
      <c r="F6" s="904"/>
      <c r="G6" s="905"/>
      <c r="I6">
        <v>16</v>
      </c>
      <c r="J6" s="76">
        <f>C9+C15+C50</f>
        <v>75021.649999999994</v>
      </c>
    </row>
    <row r="7" spans="1:11" ht="13.5" customHeight="1" x14ac:dyDescent="0.25">
      <c r="A7" s="874"/>
      <c r="B7" s="874"/>
      <c r="C7" s="93"/>
      <c r="D7" s="519">
        <v>401102</v>
      </c>
      <c r="E7" s="519">
        <v>401202</v>
      </c>
      <c r="F7" s="519" t="s">
        <v>854</v>
      </c>
      <c r="G7" s="71"/>
      <c r="J7" s="76"/>
    </row>
    <row r="8" spans="1:11" ht="24.75" customHeight="1" x14ac:dyDescent="0.25">
      <c r="A8" s="153" t="s">
        <v>901</v>
      </c>
      <c r="B8" s="119">
        <f t="shared" ref="B8:B17" si="0">C8+F8</f>
        <v>628484.28</v>
      </c>
      <c r="C8" s="139">
        <f>C9+C10+C11+C12+C13</f>
        <v>628484.28</v>
      </c>
      <c r="D8" s="139"/>
      <c r="E8" s="139"/>
      <c r="F8" s="139">
        <f>F9+F10+F11+F12</f>
        <v>0</v>
      </c>
      <c r="G8" s="647">
        <f>G9+G10+G11+G12</f>
        <v>500000</v>
      </c>
      <c r="I8">
        <v>15</v>
      </c>
      <c r="J8" s="76" t="e">
        <f>#REF!+#REF!+C29+C35+C40+C42+C54+C55+C56+C57</f>
        <v>#REF!</v>
      </c>
      <c r="K8" s="76">
        <f>'[4]расходы на 2012 год'!$G$97</f>
        <v>238872.48</v>
      </c>
    </row>
    <row r="9" spans="1:11" ht="12.95" customHeight="1" x14ac:dyDescent="0.25">
      <c r="A9" s="468" t="s">
        <v>889</v>
      </c>
      <c r="B9" s="531">
        <f t="shared" si="0"/>
        <v>70721.649999999994</v>
      </c>
      <c r="C9" s="514">
        <v>70721.649999999994</v>
      </c>
      <c r="D9" s="536"/>
      <c r="E9" s="536"/>
      <c r="F9" s="535"/>
      <c r="G9" s="648"/>
      <c r="I9">
        <v>14</v>
      </c>
      <c r="J9" s="76">
        <f>C16+C44+C48</f>
        <v>15910.88</v>
      </c>
    </row>
    <row r="10" spans="1:11" ht="12.95" customHeight="1" x14ac:dyDescent="0.25">
      <c r="A10" s="468" t="s">
        <v>902</v>
      </c>
      <c r="B10" s="531">
        <f t="shared" si="0"/>
        <v>60762.63</v>
      </c>
      <c r="C10" s="536">
        <v>60762.63</v>
      </c>
      <c r="D10" s="536"/>
      <c r="E10" s="536"/>
      <c r="F10" s="535"/>
      <c r="G10" s="648"/>
      <c r="I10">
        <v>13</v>
      </c>
      <c r="J10" s="76" t="e">
        <f>#REF!+C39+C52+C53</f>
        <v>#REF!</v>
      </c>
    </row>
    <row r="11" spans="1:11" ht="21.75" customHeight="1" x14ac:dyDescent="0.25">
      <c r="A11" s="468" t="s">
        <v>458</v>
      </c>
      <c r="B11" s="531">
        <f t="shared" si="0"/>
        <v>180000</v>
      </c>
      <c r="C11" s="514">
        <v>180000</v>
      </c>
      <c r="D11" s="514"/>
      <c r="E11" s="514"/>
      <c r="F11" s="514"/>
      <c r="G11" s="649">
        <v>500000</v>
      </c>
      <c r="J11" s="76"/>
    </row>
    <row r="12" spans="1:11" ht="22.9" customHeight="1" x14ac:dyDescent="0.25">
      <c r="A12" s="537" t="s">
        <v>485</v>
      </c>
      <c r="B12" s="531">
        <f t="shared" si="0"/>
        <v>92000</v>
      </c>
      <c r="C12" s="538">
        <v>92000</v>
      </c>
      <c r="D12" s="538"/>
      <c r="E12" s="538"/>
      <c r="F12" s="538"/>
      <c r="G12" s="650"/>
      <c r="I12" s="143">
        <v>11</v>
      </c>
      <c r="J12" s="76" t="e">
        <f>C17+#REF!+C37+C43+C46</f>
        <v>#REF!</v>
      </c>
    </row>
    <row r="13" spans="1:11" ht="22.5" customHeight="1" x14ac:dyDescent="0.25">
      <c r="A13" s="537" t="s">
        <v>595</v>
      </c>
      <c r="B13" s="531">
        <f t="shared" si="0"/>
        <v>225000</v>
      </c>
      <c r="C13" s="538">
        <v>225000</v>
      </c>
      <c r="D13" s="538"/>
      <c r="E13" s="538"/>
      <c r="F13" s="538"/>
      <c r="G13" s="650"/>
      <c r="I13" s="143"/>
      <c r="J13" s="76"/>
    </row>
    <row r="14" spans="1:11" ht="13.5" customHeight="1" x14ac:dyDescent="0.25">
      <c r="A14" s="153" t="s">
        <v>905</v>
      </c>
      <c r="B14" s="119">
        <f t="shared" si="0"/>
        <v>22158.18</v>
      </c>
      <c r="C14" s="139">
        <f>C15+C16+C17</f>
        <v>22158.18</v>
      </c>
      <c r="D14" s="139"/>
      <c r="E14" s="139"/>
      <c r="F14" s="139">
        <f>F15+F16+F17</f>
        <v>0</v>
      </c>
      <c r="G14" s="651"/>
      <c r="I14">
        <v>8</v>
      </c>
      <c r="J14" s="76" t="e">
        <f>#REF!+C28+C31+C32+C36</f>
        <v>#REF!</v>
      </c>
    </row>
    <row r="15" spans="1:11" ht="12.95" customHeight="1" x14ac:dyDescent="0.25">
      <c r="A15" s="468" t="s">
        <v>889</v>
      </c>
      <c r="B15" s="531">
        <f t="shared" si="0"/>
        <v>2100</v>
      </c>
      <c r="C15" s="514">
        <v>2100</v>
      </c>
      <c r="D15" s="514"/>
      <c r="E15" s="514"/>
      <c r="F15" s="539"/>
      <c r="G15" s="648"/>
      <c r="J15" s="76" t="e">
        <f>C61-J6-J8-J9-J10-J12-#REF!-J14</f>
        <v>#REF!</v>
      </c>
    </row>
    <row r="16" spans="1:11" ht="12.95" customHeight="1" x14ac:dyDescent="0.25">
      <c r="A16" s="468" t="s">
        <v>906</v>
      </c>
      <c r="B16" s="531">
        <f t="shared" si="0"/>
        <v>9634.8799999999992</v>
      </c>
      <c r="C16" s="536">
        <v>9634.8799999999992</v>
      </c>
      <c r="D16" s="536"/>
      <c r="E16" s="536"/>
      <c r="F16" s="535"/>
      <c r="G16" s="648"/>
    </row>
    <row r="17" spans="1:10" ht="12.95" customHeight="1" x14ac:dyDescent="0.25">
      <c r="A17" s="468" t="s">
        <v>882</v>
      </c>
      <c r="B17" s="531">
        <f t="shared" si="0"/>
        <v>10423.299999999999</v>
      </c>
      <c r="C17" s="514">
        <v>10423.299999999999</v>
      </c>
      <c r="D17" s="514"/>
      <c r="E17" s="514"/>
      <c r="F17" s="535"/>
      <c r="G17" s="648"/>
    </row>
    <row r="18" spans="1:10" ht="51.75" customHeight="1" x14ac:dyDescent="0.25">
      <c r="A18" s="153" t="s">
        <v>612</v>
      </c>
      <c r="B18" s="119">
        <f t="shared" ref="B18:B26" si="1">C18+F18</f>
        <v>40068.959999999999</v>
      </c>
      <c r="C18" s="119">
        <f>C19+C23</f>
        <v>13222.76</v>
      </c>
      <c r="D18" s="139">
        <f>D19+D23</f>
        <v>21476.97</v>
      </c>
      <c r="E18" s="139">
        <f>E19+E23</f>
        <v>5369.23</v>
      </c>
      <c r="F18" s="139">
        <f>D18+E18</f>
        <v>26846.2</v>
      </c>
      <c r="G18" s="648"/>
    </row>
    <row r="19" spans="1:10" ht="12.95" customHeight="1" x14ac:dyDescent="0.25">
      <c r="A19" s="614" t="s">
        <v>61</v>
      </c>
      <c r="B19" s="119">
        <f t="shared" si="1"/>
        <v>18600</v>
      </c>
      <c r="C19" s="119">
        <f>C20+C21+C22</f>
        <v>6138</v>
      </c>
      <c r="D19" s="119">
        <f>D20+D21+D22</f>
        <v>7295.5</v>
      </c>
      <c r="E19" s="119">
        <f>E20+E21+E22</f>
        <v>5166.5</v>
      </c>
      <c r="F19" s="119">
        <f>D19+E19</f>
        <v>12462</v>
      </c>
      <c r="G19" s="648"/>
    </row>
    <row r="20" spans="1:10" ht="12.95" customHeight="1" x14ac:dyDescent="0.25">
      <c r="A20" s="468" t="s">
        <v>880</v>
      </c>
      <c r="B20" s="531">
        <f t="shared" si="1"/>
        <v>10888.8</v>
      </c>
      <c r="C20" s="513">
        <f>(3629.6*0.25)*12*33%</f>
        <v>3593.3</v>
      </c>
      <c r="D20" s="531">
        <f>F20</f>
        <v>7295.5</v>
      </c>
      <c r="E20" s="531">
        <f>F20-D20</f>
        <v>0</v>
      </c>
      <c r="F20" s="513">
        <f>(3629.6*0.25)*12*67%</f>
        <v>7295.5</v>
      </c>
      <c r="G20" s="648"/>
      <c r="H20" s="76">
        <f>C20+C24</f>
        <v>3756.48</v>
      </c>
      <c r="I20" s="76">
        <f>'[5]расходы на 2012 год'!$G$97</f>
        <v>3756.48</v>
      </c>
    </row>
    <row r="21" spans="1:10" ht="12.95" customHeight="1" x14ac:dyDescent="0.25">
      <c r="A21" s="468" t="s">
        <v>908</v>
      </c>
      <c r="B21" s="531">
        <f t="shared" si="1"/>
        <v>1516.2</v>
      </c>
      <c r="C21" s="513">
        <f>(505.4*0.25)*33%*12-0.01</f>
        <v>500.34</v>
      </c>
      <c r="D21" s="531"/>
      <c r="E21" s="531">
        <f>F21-D21</f>
        <v>1015.86</v>
      </c>
      <c r="F21" s="513">
        <f>(505.4*0.25)*67%*12+0.01</f>
        <v>1015.86</v>
      </c>
      <c r="G21" s="648"/>
      <c r="H21" s="76">
        <f>C21+C25</f>
        <v>1861.28</v>
      </c>
      <c r="I21" s="76">
        <f>'[6]расходы план на 2012 год'!$G$55</f>
        <v>1861.28</v>
      </c>
    </row>
    <row r="22" spans="1:10" ht="12.95" customHeight="1" x14ac:dyDescent="0.25">
      <c r="A22" s="468" t="s">
        <v>888</v>
      </c>
      <c r="B22" s="531">
        <f t="shared" si="1"/>
        <v>6195</v>
      </c>
      <c r="C22" s="530">
        <f>(2065*0.25)*12*33%+0.01</f>
        <v>2044.36</v>
      </c>
      <c r="D22" s="531"/>
      <c r="E22" s="531">
        <f>F22-D22</f>
        <v>4150.6400000000003</v>
      </c>
      <c r="F22" s="530">
        <f>(2065*0.25)*12*67%-0.01</f>
        <v>4150.6400000000003</v>
      </c>
      <c r="G22" s="648"/>
      <c r="H22" s="76">
        <f>C22+C26</f>
        <v>7605</v>
      </c>
      <c r="I22" s="76">
        <f>'[7]расходы на 2012 год общежитие'!$G$35+'[7]расходы на 2012 год общежитие'!$G$36</f>
        <v>7605</v>
      </c>
    </row>
    <row r="23" spans="1:10" ht="12.95" customHeight="1" x14ac:dyDescent="0.25">
      <c r="A23" s="614" t="s">
        <v>62</v>
      </c>
      <c r="B23" s="119">
        <f t="shared" si="1"/>
        <v>21468.959999999999</v>
      </c>
      <c r="C23" s="119">
        <f>C24+C25+C26</f>
        <v>7084.76</v>
      </c>
      <c r="D23" s="119">
        <f>D24+D25+D26</f>
        <v>14181.47</v>
      </c>
      <c r="E23" s="119">
        <f>E24+E25+E26</f>
        <v>202.73</v>
      </c>
      <c r="F23" s="119">
        <f>F24+F25+F26</f>
        <v>14384.2</v>
      </c>
      <c r="G23" s="648"/>
    </row>
    <row r="24" spans="1:10" ht="12.95" customHeight="1" x14ac:dyDescent="0.25">
      <c r="A24" s="468" t="s">
        <v>880</v>
      </c>
      <c r="B24" s="531">
        <f t="shared" si="1"/>
        <v>494.49</v>
      </c>
      <c r="C24" s="513">
        <f>(60.6*0.68)*12*33%</f>
        <v>163.18</v>
      </c>
      <c r="D24" s="513">
        <v>128.58000000000001</v>
      </c>
      <c r="E24" s="513">
        <f>F24-D24</f>
        <v>202.73</v>
      </c>
      <c r="F24" s="513">
        <f>(60.6*0.68)*12*67%</f>
        <v>331.31</v>
      </c>
      <c r="G24" s="648"/>
    </row>
    <row r="25" spans="1:10" ht="12.95" customHeight="1" x14ac:dyDescent="0.25">
      <c r="A25" s="468" t="s">
        <v>908</v>
      </c>
      <c r="B25" s="531">
        <f t="shared" si="1"/>
        <v>4124.0600000000004</v>
      </c>
      <c r="C25" s="513">
        <f>(505.4*0.68)*33%*12</f>
        <v>1360.94</v>
      </c>
      <c r="D25" s="513">
        <f>F25</f>
        <v>2763.12</v>
      </c>
      <c r="E25" s="513"/>
      <c r="F25" s="513">
        <f>(505.4*0.68)*67%*12</f>
        <v>2763.12</v>
      </c>
      <c r="G25" s="648"/>
      <c r="I25">
        <v>80</v>
      </c>
      <c r="J25" t="s">
        <v>4</v>
      </c>
    </row>
    <row r="26" spans="1:10" ht="12.95" customHeight="1" x14ac:dyDescent="0.25">
      <c r="A26" s="468" t="s">
        <v>888</v>
      </c>
      <c r="B26" s="531">
        <f t="shared" si="1"/>
        <v>16850.41</v>
      </c>
      <c r="C26" s="530">
        <f>(2065*0.68)*12*33%+0.01</f>
        <v>5560.64</v>
      </c>
      <c r="D26" s="530">
        <f>F26</f>
        <v>11289.77</v>
      </c>
      <c r="E26" s="530"/>
      <c r="F26" s="530">
        <f>(2065*0.68)*12*67%</f>
        <v>11289.77</v>
      </c>
      <c r="G26" s="648"/>
      <c r="I26">
        <v>20</v>
      </c>
      <c r="J26" t="s">
        <v>5</v>
      </c>
    </row>
    <row r="27" spans="1:10" ht="36.75" customHeight="1" x14ac:dyDescent="0.25">
      <c r="A27" s="83" t="s">
        <v>618</v>
      </c>
      <c r="B27" s="119">
        <f>B28+B29</f>
        <v>59732.24</v>
      </c>
      <c r="C27" s="119">
        <f>C28+C29</f>
        <v>59732.24</v>
      </c>
      <c r="D27" s="119"/>
      <c r="E27" s="119"/>
      <c r="F27" s="119">
        <f>F28+F29</f>
        <v>0</v>
      </c>
      <c r="G27" s="651"/>
      <c r="I27">
        <f>I25+I26</f>
        <v>100</v>
      </c>
    </row>
    <row r="28" spans="1:10" ht="12.95" customHeight="1" x14ac:dyDescent="0.25">
      <c r="A28" s="468" t="s">
        <v>903</v>
      </c>
      <c r="B28" s="530">
        <f>C28+F28</f>
        <v>23792.240000000002</v>
      </c>
      <c r="C28" s="513">
        <f>(22.8*62.38*1.18+1.984*130.03*1.18)*12-0.01</f>
        <v>23792.240000000002</v>
      </c>
      <c r="D28" s="513"/>
      <c r="E28" s="513"/>
      <c r="F28" s="535"/>
      <c r="G28" s="648"/>
    </row>
    <row r="29" spans="1:10" ht="24.75" customHeight="1" x14ac:dyDescent="0.25">
      <c r="A29" s="468" t="s">
        <v>786</v>
      </c>
      <c r="B29" s="530">
        <f>C29+F29</f>
        <v>35940</v>
      </c>
      <c r="C29" s="514">
        <f>2995*12</f>
        <v>35940</v>
      </c>
      <c r="D29" s="514"/>
      <c r="E29" s="514"/>
      <c r="F29" s="535"/>
      <c r="G29" s="648"/>
    </row>
    <row r="30" spans="1:10" ht="37.5" customHeight="1" x14ac:dyDescent="0.25">
      <c r="A30" s="83" t="s">
        <v>616</v>
      </c>
      <c r="B30" s="119">
        <f>B33</f>
        <v>63186.35</v>
      </c>
      <c r="C30" s="119">
        <f>C33</f>
        <v>63186.35</v>
      </c>
      <c r="D30" s="119"/>
      <c r="E30" s="119"/>
      <c r="F30" s="119">
        <f>F31</f>
        <v>0</v>
      </c>
      <c r="G30" s="651"/>
    </row>
    <row r="31" spans="1:10" ht="12.95" customHeight="1" x14ac:dyDescent="0.25">
      <c r="A31" s="468" t="s">
        <v>613</v>
      </c>
      <c r="B31" s="530">
        <f>C31+F31</f>
        <v>16074.23</v>
      </c>
      <c r="C31" s="536">
        <v>16074.23</v>
      </c>
      <c r="D31" s="536"/>
      <c r="E31" s="536"/>
      <c r="F31" s="535"/>
      <c r="G31" s="648"/>
    </row>
    <row r="32" spans="1:10" ht="12.95" customHeight="1" x14ac:dyDescent="0.25">
      <c r="A32" s="468" t="s">
        <v>614</v>
      </c>
      <c r="B32" s="530">
        <f t="shared" ref="B32:B41" si="2">C32+F32</f>
        <v>47112.12</v>
      </c>
      <c r="C32" s="536">
        <v>47112.12</v>
      </c>
      <c r="D32" s="536"/>
      <c r="E32" s="536"/>
      <c r="F32" s="535"/>
      <c r="G32" s="648"/>
    </row>
    <row r="33" spans="1:8" ht="12.95" customHeight="1" x14ac:dyDescent="0.25">
      <c r="A33" s="468" t="s">
        <v>903</v>
      </c>
      <c r="B33" s="530">
        <f>B31+B32</f>
        <v>63186.35</v>
      </c>
      <c r="C33" s="530">
        <f>C31+C32</f>
        <v>63186.35</v>
      </c>
      <c r="D33" s="536"/>
      <c r="E33" s="536"/>
      <c r="F33" s="535"/>
      <c r="G33" s="648"/>
    </row>
    <row r="34" spans="1:8" ht="12" customHeight="1" x14ac:dyDescent="0.25">
      <c r="A34" s="83" t="s">
        <v>907</v>
      </c>
      <c r="B34" s="119">
        <f t="shared" si="2"/>
        <v>37500</v>
      </c>
      <c r="C34" s="119">
        <f>C35+C36+C37</f>
        <v>37500</v>
      </c>
      <c r="D34" s="119"/>
      <c r="E34" s="119"/>
      <c r="F34" s="119">
        <f>F35+F36+F37</f>
        <v>0</v>
      </c>
      <c r="G34" s="651"/>
    </row>
    <row r="35" spans="1:8" ht="12.95" customHeight="1" x14ac:dyDescent="0.25">
      <c r="A35" s="468" t="s">
        <v>904</v>
      </c>
      <c r="B35" s="531">
        <f t="shared" si="2"/>
        <v>13500</v>
      </c>
      <c r="C35" s="514">
        <f>6750*2</f>
        <v>13500</v>
      </c>
      <c r="D35" s="514"/>
      <c r="E35" s="514"/>
      <c r="F35" s="535"/>
      <c r="G35" s="648"/>
    </row>
    <row r="36" spans="1:8" ht="12.95" customHeight="1" x14ac:dyDescent="0.25">
      <c r="A36" s="468" t="s">
        <v>903</v>
      </c>
      <c r="B36" s="531">
        <f t="shared" si="2"/>
        <v>12000</v>
      </c>
      <c r="C36" s="514">
        <v>12000</v>
      </c>
      <c r="D36" s="514"/>
      <c r="E36" s="514"/>
      <c r="F36" s="535"/>
      <c r="G36" s="648"/>
    </row>
    <row r="37" spans="1:8" ht="12.95" customHeight="1" x14ac:dyDescent="0.25">
      <c r="A37" s="468" t="s">
        <v>882</v>
      </c>
      <c r="B37" s="531">
        <f t="shared" si="2"/>
        <v>12000</v>
      </c>
      <c r="C37" s="514">
        <f>12000</f>
        <v>12000</v>
      </c>
      <c r="D37" s="514"/>
      <c r="E37" s="514"/>
      <c r="F37" s="535"/>
      <c r="G37" s="648"/>
    </row>
    <row r="38" spans="1:8" ht="37.5" customHeight="1" x14ac:dyDescent="0.25">
      <c r="A38" s="83" t="s">
        <v>615</v>
      </c>
      <c r="B38" s="119">
        <f t="shared" si="2"/>
        <v>90000</v>
      </c>
      <c r="C38" s="119">
        <f>C39</f>
        <v>29700</v>
      </c>
      <c r="D38" s="119">
        <f>D39+D40</f>
        <v>48240</v>
      </c>
      <c r="E38" s="119">
        <f>E39+E40</f>
        <v>12060</v>
      </c>
      <c r="F38" s="119">
        <f>F39+F40</f>
        <v>60300</v>
      </c>
      <c r="G38" s="651"/>
    </row>
    <row r="39" spans="1:8" ht="12.2" customHeight="1" x14ac:dyDescent="0.25">
      <c r="A39" s="468" t="s">
        <v>710</v>
      </c>
      <c r="B39" s="531">
        <f t="shared" si="2"/>
        <v>29700</v>
      </c>
      <c r="C39" s="514">
        <f>7500*12*33%</f>
        <v>29700</v>
      </c>
      <c r="D39" s="514"/>
      <c r="E39" s="514"/>
      <c r="F39" s="514"/>
      <c r="G39" s="648"/>
    </row>
    <row r="40" spans="1:8" ht="12.95" customHeight="1" x14ac:dyDescent="0.25">
      <c r="A40" s="468" t="s">
        <v>683</v>
      </c>
      <c r="B40" s="531">
        <f t="shared" si="2"/>
        <v>60300</v>
      </c>
      <c r="C40" s="514"/>
      <c r="D40" s="514">
        <f>F40*I25%</f>
        <v>48240</v>
      </c>
      <c r="E40" s="514">
        <f>F40*I26%</f>
        <v>12060</v>
      </c>
      <c r="F40" s="514">
        <f>7500*12*67%</f>
        <v>60300</v>
      </c>
      <c r="G40" s="648"/>
    </row>
    <row r="41" spans="1:8" ht="39" customHeight="1" x14ac:dyDescent="0.25">
      <c r="A41" s="636" t="s">
        <v>617</v>
      </c>
      <c r="B41" s="119">
        <f t="shared" si="2"/>
        <v>22704</v>
      </c>
      <c r="C41" s="119">
        <f>C42+C43+C44</f>
        <v>22704</v>
      </c>
      <c r="D41" s="119"/>
      <c r="E41" s="119"/>
      <c r="F41" s="119">
        <f>F42+F43+F44</f>
        <v>0</v>
      </c>
      <c r="G41" s="651"/>
    </row>
    <row r="42" spans="1:8" ht="12.95" customHeight="1" x14ac:dyDescent="0.25">
      <c r="A42" s="468" t="s">
        <v>880</v>
      </c>
      <c r="B42" s="531">
        <f t="shared" ref="B42:B57" si="3">C42+F42</f>
        <v>5676</v>
      </c>
      <c r="C42" s="514">
        <f>473*12</f>
        <v>5676</v>
      </c>
      <c r="D42" s="514"/>
      <c r="E42" s="514"/>
      <c r="F42" s="535"/>
      <c r="G42" s="648"/>
      <c r="H42">
        <f>7500*12</f>
        <v>90000</v>
      </c>
    </row>
    <row r="43" spans="1:8" ht="12.95" customHeight="1" x14ac:dyDescent="0.25">
      <c r="A43" s="468" t="s">
        <v>908</v>
      </c>
      <c r="B43" s="531">
        <f t="shared" si="3"/>
        <v>11352</v>
      </c>
      <c r="C43" s="514">
        <f>473*2*12</f>
        <v>11352</v>
      </c>
      <c r="D43" s="514"/>
      <c r="E43" s="514"/>
      <c r="F43" s="535"/>
      <c r="G43" s="648"/>
    </row>
    <row r="44" spans="1:8" ht="12.95" customHeight="1" x14ac:dyDescent="0.25">
      <c r="A44" s="468" t="s">
        <v>906</v>
      </c>
      <c r="B44" s="531">
        <f t="shared" si="3"/>
        <v>5676</v>
      </c>
      <c r="C44" s="514">
        <f>473*12</f>
        <v>5676</v>
      </c>
      <c r="D44" s="514"/>
      <c r="E44" s="514"/>
      <c r="F44" s="535"/>
      <c r="G44" s="648"/>
    </row>
    <row r="45" spans="1:8" ht="12.95" customHeight="1" x14ac:dyDescent="0.25">
      <c r="A45" s="153" t="s">
        <v>909</v>
      </c>
      <c r="B45" s="119">
        <f t="shared" si="3"/>
        <v>9993.5</v>
      </c>
      <c r="C45" s="193">
        <f>C46</f>
        <v>9993.5</v>
      </c>
      <c r="D45" s="193"/>
      <c r="E45" s="193"/>
      <c r="F45" s="139">
        <f>F46</f>
        <v>0</v>
      </c>
      <c r="G45" s="651"/>
    </row>
    <row r="46" spans="1:8" ht="12.95" customHeight="1" x14ac:dyDescent="0.25">
      <c r="A46" s="468" t="s">
        <v>908</v>
      </c>
      <c r="B46" s="531">
        <f t="shared" si="3"/>
        <v>9993.5</v>
      </c>
      <c r="C46" s="514">
        <f>9993.5</f>
        <v>9993.5</v>
      </c>
      <c r="D46" s="514"/>
      <c r="E46" s="514"/>
      <c r="F46" s="535"/>
      <c r="G46" s="648"/>
    </row>
    <row r="47" spans="1:8" ht="12.95" customHeight="1" x14ac:dyDescent="0.25">
      <c r="A47" s="83" t="s">
        <v>910</v>
      </c>
      <c r="B47" s="119">
        <f t="shared" si="3"/>
        <v>600</v>
      </c>
      <c r="C47" s="139">
        <f>C48</f>
        <v>600</v>
      </c>
      <c r="D47" s="139"/>
      <c r="E47" s="139"/>
      <c r="F47" s="139">
        <f>F48</f>
        <v>0</v>
      </c>
      <c r="G47" s="651"/>
    </row>
    <row r="48" spans="1:8" ht="12.95" customHeight="1" x14ac:dyDescent="0.25">
      <c r="A48" s="468" t="s">
        <v>906</v>
      </c>
      <c r="B48" s="531">
        <f t="shared" si="3"/>
        <v>600</v>
      </c>
      <c r="C48" s="514">
        <v>600</v>
      </c>
      <c r="D48" s="514"/>
      <c r="E48" s="514"/>
      <c r="F48" s="535"/>
      <c r="G48" s="648"/>
    </row>
    <row r="49" spans="1:9" ht="12.95" customHeight="1" x14ac:dyDescent="0.25">
      <c r="A49" s="83" t="s">
        <v>912</v>
      </c>
      <c r="B49" s="119">
        <f t="shared" si="3"/>
        <v>2200</v>
      </c>
      <c r="C49" s="139">
        <f>C50</f>
        <v>2200</v>
      </c>
      <c r="D49" s="139"/>
      <c r="E49" s="139"/>
      <c r="F49" s="139">
        <f>F50</f>
        <v>0</v>
      </c>
      <c r="G49" s="651"/>
    </row>
    <row r="50" spans="1:9" ht="12.95" customHeight="1" x14ac:dyDescent="0.25">
      <c r="A50" s="468" t="s">
        <v>911</v>
      </c>
      <c r="B50" s="531">
        <f t="shared" si="3"/>
        <v>2200</v>
      </c>
      <c r="C50" s="514">
        <f>2200</f>
        <v>2200</v>
      </c>
      <c r="D50" s="514"/>
      <c r="E50" s="514"/>
      <c r="F50" s="535"/>
      <c r="G50" s="648"/>
    </row>
    <row r="51" spans="1:9" ht="13.5" customHeight="1" x14ac:dyDescent="0.25">
      <c r="A51" s="83" t="s">
        <v>913</v>
      </c>
      <c r="B51" s="119">
        <f t="shared" si="3"/>
        <v>38475.72</v>
      </c>
      <c r="C51" s="192">
        <f>C52+C53</f>
        <v>38475.72</v>
      </c>
      <c r="D51" s="192"/>
      <c r="E51" s="192"/>
      <c r="F51" s="139">
        <f>F52+F53</f>
        <v>0</v>
      </c>
      <c r="G51" s="651"/>
    </row>
    <row r="52" spans="1:9" ht="12.95" customHeight="1" x14ac:dyDescent="0.25">
      <c r="A52" s="468" t="s">
        <v>843</v>
      </c>
      <c r="B52" s="531">
        <f t="shared" si="3"/>
        <v>25000</v>
      </c>
      <c r="C52" s="514">
        <v>25000</v>
      </c>
      <c r="D52" s="514"/>
      <c r="E52" s="514"/>
      <c r="F52" s="535"/>
      <c r="G52" s="648"/>
    </row>
    <row r="53" spans="1:9" ht="12.95" customHeight="1" x14ac:dyDescent="0.25">
      <c r="A53" s="468" t="s">
        <v>844</v>
      </c>
      <c r="B53" s="531">
        <f t="shared" si="3"/>
        <v>13475.72</v>
      </c>
      <c r="C53" s="536">
        <f>10350+3125.72</f>
        <v>13475.72</v>
      </c>
      <c r="D53" s="536"/>
      <c r="E53" s="536"/>
      <c r="F53" s="535"/>
      <c r="G53" s="648"/>
    </row>
    <row r="54" spans="1:9" ht="25.5" customHeight="1" x14ac:dyDescent="0.25">
      <c r="A54" s="83" t="s">
        <v>914</v>
      </c>
      <c r="B54" s="119">
        <f t="shared" si="3"/>
        <v>0</v>
      </c>
      <c r="C54" s="139">
        <v>0</v>
      </c>
      <c r="D54" s="139"/>
      <c r="E54" s="139"/>
      <c r="F54" s="139"/>
      <c r="G54" s="647">
        <v>160000</v>
      </c>
    </row>
    <row r="55" spans="1:9" ht="24" customHeight="1" x14ac:dyDescent="0.25">
      <c r="A55" s="83" t="s">
        <v>637</v>
      </c>
      <c r="B55" s="119">
        <f t="shared" si="3"/>
        <v>0</v>
      </c>
      <c r="C55" s="139">
        <v>0</v>
      </c>
      <c r="D55" s="139"/>
      <c r="E55" s="139"/>
      <c r="F55" s="139"/>
      <c r="G55" s="647">
        <f>90000</f>
        <v>90000</v>
      </c>
    </row>
    <row r="56" spans="1:9" ht="14.25" customHeight="1" x14ac:dyDescent="0.25">
      <c r="A56" s="83" t="s">
        <v>638</v>
      </c>
      <c r="B56" s="119">
        <f t="shared" si="3"/>
        <v>0</v>
      </c>
      <c r="C56" s="139">
        <v>0</v>
      </c>
      <c r="D56" s="139"/>
      <c r="E56" s="139"/>
      <c r="F56" s="139"/>
      <c r="G56" s="647">
        <f>163000</f>
        <v>163000</v>
      </c>
    </row>
    <row r="57" spans="1:9" ht="24" customHeight="1" x14ac:dyDescent="0.25">
      <c r="A57" s="83" t="s">
        <v>842</v>
      </c>
      <c r="B57" s="119">
        <f t="shared" si="3"/>
        <v>0</v>
      </c>
      <c r="C57" s="139">
        <v>0</v>
      </c>
      <c r="D57" s="139"/>
      <c r="E57" s="139"/>
      <c r="F57" s="139"/>
      <c r="G57" s="647">
        <f>207000</f>
        <v>207000</v>
      </c>
    </row>
    <row r="58" spans="1:9" ht="54" customHeight="1" x14ac:dyDescent="0.25">
      <c r="A58" s="123" t="s">
        <v>759</v>
      </c>
      <c r="B58" s="119">
        <f>C58+F58</f>
        <v>57000</v>
      </c>
      <c r="C58" s="139">
        <f>C59+C60</f>
        <v>28500</v>
      </c>
      <c r="D58" s="139">
        <f>D59+D60</f>
        <v>22800</v>
      </c>
      <c r="E58" s="139">
        <f>E59+E60</f>
        <v>5700</v>
      </c>
      <c r="F58" s="132">
        <f>D58+E58</f>
        <v>28500</v>
      </c>
      <c r="G58" s="647"/>
    </row>
    <row r="59" spans="1:9" ht="15" customHeight="1" x14ac:dyDescent="0.25">
      <c r="A59" s="468" t="s">
        <v>760</v>
      </c>
      <c r="B59" s="531">
        <f>C59+F59</f>
        <v>28500</v>
      </c>
      <c r="C59" s="139"/>
      <c r="D59" s="591">
        <f>F59*I25%</f>
        <v>22800</v>
      </c>
      <c r="E59" s="591">
        <f>F59*I26%</f>
        <v>5700</v>
      </c>
      <c r="F59" s="132">
        <f>2375*12</f>
        <v>28500</v>
      </c>
      <c r="G59" s="647"/>
    </row>
    <row r="60" spans="1:9" ht="13.5" customHeight="1" x14ac:dyDescent="0.25">
      <c r="A60" s="468" t="s">
        <v>761</v>
      </c>
      <c r="B60" s="531">
        <f>C60+F60</f>
        <v>28500</v>
      </c>
      <c r="C60" s="591">
        <f>2375*12</f>
        <v>28500</v>
      </c>
      <c r="D60" s="591"/>
      <c r="E60" s="591"/>
      <c r="F60" s="132"/>
      <c r="G60" s="647"/>
    </row>
    <row r="61" spans="1:9" x14ac:dyDescent="0.25">
      <c r="A61" s="194" t="s">
        <v>828</v>
      </c>
      <c r="B61" s="139">
        <f t="shared" ref="B61:G61" si="4">B8+B14+B18+B27+B30+B34+B38+B41+B45+B47+B49+B51+B54+B54+B55+B56+B57+B58</f>
        <v>1072103.23</v>
      </c>
      <c r="C61" s="139">
        <f t="shared" si="4"/>
        <v>956457.03</v>
      </c>
      <c r="D61" s="139">
        <f t="shared" si="4"/>
        <v>92516.97</v>
      </c>
      <c r="E61" s="139">
        <f t="shared" si="4"/>
        <v>23129.23</v>
      </c>
      <c r="F61" s="139">
        <f t="shared" si="4"/>
        <v>115646.2</v>
      </c>
      <c r="G61" s="647">
        <f t="shared" si="4"/>
        <v>1280000</v>
      </c>
    </row>
    <row r="62" spans="1:9" x14ac:dyDescent="0.25">
      <c r="A62" s="634"/>
      <c r="B62" s="635"/>
      <c r="C62" s="635"/>
      <c r="D62" s="635"/>
      <c r="E62" s="635"/>
      <c r="F62" s="635"/>
      <c r="G62" s="635"/>
    </row>
    <row r="63" spans="1:9" x14ac:dyDescent="0.25">
      <c r="A63" s="64" t="s">
        <v>824</v>
      </c>
      <c r="B63" s="64"/>
      <c r="C63" s="509"/>
      <c r="E63" s="509" t="s">
        <v>825</v>
      </c>
      <c r="H63" s="161">
        <v>11</v>
      </c>
      <c r="I63" s="162" t="e">
        <f>C17+#REF!+C37+C43+C46</f>
        <v>#REF!</v>
      </c>
    </row>
    <row r="64" spans="1:9" x14ac:dyDescent="0.25">
      <c r="A64" s="68"/>
      <c r="B64" s="68"/>
      <c r="C64" s="68"/>
      <c r="E64" s="68"/>
      <c r="H64" s="161">
        <v>17</v>
      </c>
      <c r="I64" s="161"/>
    </row>
    <row r="65" spans="1:9" x14ac:dyDescent="0.25">
      <c r="A65" s="64" t="s">
        <v>99</v>
      </c>
      <c r="B65" s="64"/>
      <c r="C65" s="64"/>
      <c r="E65" s="64" t="s">
        <v>897</v>
      </c>
      <c r="H65" s="161">
        <v>16</v>
      </c>
      <c r="I65" s="162">
        <f>C9+C50</f>
        <v>72921.649999999994</v>
      </c>
    </row>
    <row r="66" spans="1:9" x14ac:dyDescent="0.25">
      <c r="A66" s="197" t="s">
        <v>891</v>
      </c>
      <c r="E66" s="197" t="s">
        <v>457</v>
      </c>
    </row>
    <row r="67" spans="1:9" x14ac:dyDescent="0.25">
      <c r="C67" s="533">
        <f>'[3]смета от 11.01.2012'!$C$29</f>
        <v>1852081.68</v>
      </c>
      <c r="D67" s="584"/>
      <c r="E67" s="584"/>
    </row>
    <row r="68" spans="1:9" x14ac:dyDescent="0.25">
      <c r="C68" s="533">
        <f>C67-C61</f>
        <v>895624.65</v>
      </c>
      <c r="D68" s="584"/>
      <c r="E68" s="584"/>
    </row>
    <row r="69" spans="1:9" x14ac:dyDescent="0.25">
      <c r="C69" s="601">
        <f>B61-C61-D61-E61</f>
        <v>0</v>
      </c>
    </row>
    <row r="70" spans="1:9" x14ac:dyDescent="0.25">
      <c r="C70" s="601">
        <f>C61-934882.3</f>
        <v>21574.73</v>
      </c>
    </row>
    <row r="71" spans="1:9" x14ac:dyDescent="0.25">
      <c r="C71" s="732">
        <f>'[8]смета от 11.01.2012'!$C$28</f>
        <v>648365</v>
      </c>
    </row>
    <row r="72" spans="1:9" x14ac:dyDescent="0.25">
      <c r="C72" s="732">
        <f>C71-C61</f>
        <v>-308092.03000000003</v>
      </c>
    </row>
  </sheetData>
  <mergeCells count="5">
    <mergeCell ref="A5:A7"/>
    <mergeCell ref="B5:B7"/>
    <mergeCell ref="A3:G3"/>
    <mergeCell ref="C5:F5"/>
    <mergeCell ref="D6:G6"/>
  </mergeCells>
  <phoneticPr fontId="17" type="noConversion"/>
  <pageMargins left="0.70866141732283472" right="0.70866141732283472" top="0" bottom="0" header="0" footer="0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4"/>
  <sheetViews>
    <sheetView workbookViewId="0">
      <selection activeCell="F26" sqref="F26"/>
    </sheetView>
  </sheetViews>
  <sheetFormatPr defaultRowHeight="15" x14ac:dyDescent="0.25"/>
  <cols>
    <col min="1" max="1" width="44.28515625" style="64" customWidth="1"/>
    <col min="2" max="2" width="8.42578125" style="64" customWidth="1"/>
    <col min="3" max="5" width="8.5703125" style="64" customWidth="1"/>
    <col min="7" max="7" width="11" customWidth="1"/>
    <col min="8" max="9" width="9.5703125" bestFit="1" customWidth="1"/>
  </cols>
  <sheetData>
    <row r="3" spans="1:9" ht="42.75" customHeight="1" x14ac:dyDescent="0.25">
      <c r="A3" s="912" t="s">
        <v>486</v>
      </c>
      <c r="B3" s="912"/>
      <c r="C3" s="912"/>
      <c r="D3" s="912"/>
      <c r="E3" s="199"/>
      <c r="F3" s="199"/>
      <c r="G3" s="199"/>
      <c r="H3" s="199"/>
    </row>
    <row r="4" spans="1:9" ht="14.25" customHeight="1" x14ac:dyDescent="0.25">
      <c r="A4" s="631"/>
      <c r="B4" s="631"/>
      <c r="C4" s="631"/>
      <c r="D4" s="631"/>
      <c r="E4" s="94"/>
      <c r="F4" s="94"/>
      <c r="G4" s="94"/>
      <c r="H4" s="94"/>
    </row>
    <row r="5" spans="1:9" ht="15" customHeight="1" x14ac:dyDescent="0.25">
      <c r="A5" s="631"/>
      <c r="B5" s="632"/>
      <c r="C5" s="632"/>
      <c r="D5" s="632"/>
      <c r="E5" s="94"/>
      <c r="F5" s="94"/>
      <c r="G5" s="94"/>
      <c r="H5" s="94"/>
    </row>
    <row r="6" spans="1:9" ht="51" customHeight="1" x14ac:dyDescent="0.25">
      <c r="A6" s="793" t="s">
        <v>826</v>
      </c>
      <c r="B6" s="868" t="s">
        <v>751</v>
      </c>
      <c r="C6" s="868"/>
      <c r="D6" s="869"/>
      <c r="E6" s="671"/>
    </row>
    <row r="7" spans="1:9" ht="13.5" customHeight="1" x14ac:dyDescent="0.25">
      <c r="A7" s="803"/>
      <c r="B7" s="911" t="s">
        <v>602</v>
      </c>
      <c r="C7" s="911"/>
      <c r="D7" s="911"/>
      <c r="E7" s="672"/>
      <c r="H7" s="76"/>
    </row>
    <row r="8" spans="1:9" ht="13.5" customHeight="1" x14ac:dyDescent="0.25">
      <c r="A8" s="794"/>
      <c r="B8" s="519">
        <v>401102</v>
      </c>
      <c r="C8" s="519">
        <v>401202</v>
      </c>
      <c r="D8" s="519" t="s">
        <v>854</v>
      </c>
      <c r="E8" s="673"/>
      <c r="H8" s="76"/>
    </row>
    <row r="9" spans="1:9" ht="37.5" customHeight="1" x14ac:dyDescent="0.25">
      <c r="A9" s="153" t="s">
        <v>745</v>
      </c>
      <c r="B9" s="139">
        <f>B10+B14</f>
        <v>21476.97</v>
      </c>
      <c r="C9" s="139">
        <f>C10+C14</f>
        <v>5369.23</v>
      </c>
      <c r="D9" s="139">
        <f>B9+C9</f>
        <v>26846.2</v>
      </c>
      <c r="E9" s="635"/>
      <c r="H9" s="76"/>
      <c r="I9" s="76"/>
    </row>
    <row r="10" spans="1:9" ht="17.25" customHeight="1" x14ac:dyDescent="0.25">
      <c r="A10" s="614" t="s">
        <v>61</v>
      </c>
      <c r="B10" s="119">
        <f>B11+B12+B13</f>
        <v>7295.5</v>
      </c>
      <c r="C10" s="119">
        <f>C11+C12+C13</f>
        <v>5166.5</v>
      </c>
      <c r="D10" s="119">
        <f>B10+C10</f>
        <v>12462</v>
      </c>
      <c r="E10" s="674"/>
      <c r="G10" s="76"/>
      <c r="H10" s="76"/>
    </row>
    <row r="11" spans="1:9" ht="11.85" customHeight="1" x14ac:dyDescent="0.25">
      <c r="A11" s="468" t="s">
        <v>880</v>
      </c>
      <c r="B11" s="531">
        <f>D11</f>
        <v>7295.5</v>
      </c>
      <c r="C11" s="531">
        <f>D11-B11</f>
        <v>0</v>
      </c>
      <c r="D11" s="513">
        <f>(3629.6*0.25)*12*67%</f>
        <v>7295.5</v>
      </c>
      <c r="E11" s="675"/>
      <c r="F11" s="76">
        <f>D11+D15</f>
        <v>7626.81</v>
      </c>
    </row>
    <row r="12" spans="1:9" ht="11.85" customHeight="1" x14ac:dyDescent="0.25">
      <c r="A12" s="468" t="s">
        <v>908</v>
      </c>
      <c r="B12" s="531"/>
      <c r="C12" s="531">
        <f>D12-B12</f>
        <v>1015.86</v>
      </c>
      <c r="D12" s="513">
        <f>(505.4*0.25)*67%*12+0.01</f>
        <v>1015.86</v>
      </c>
      <c r="E12" s="675"/>
      <c r="F12" s="76">
        <f>D12+D16</f>
        <v>3778.98</v>
      </c>
    </row>
    <row r="13" spans="1:9" ht="11.85" customHeight="1" x14ac:dyDescent="0.25">
      <c r="A13" s="468" t="s">
        <v>836</v>
      </c>
      <c r="B13" s="531"/>
      <c r="C13" s="531">
        <f>D13-B13</f>
        <v>4150.6400000000003</v>
      </c>
      <c r="D13" s="530">
        <f>(2065*0.25)*12*67%-0.01</f>
        <v>4150.6400000000003</v>
      </c>
      <c r="E13" s="676"/>
      <c r="F13" s="76">
        <f>D13+D17</f>
        <v>15440.41</v>
      </c>
      <c r="G13">
        <v>80</v>
      </c>
      <c r="H13" t="s">
        <v>4</v>
      </c>
    </row>
    <row r="14" spans="1:9" ht="14.25" customHeight="1" x14ac:dyDescent="0.25">
      <c r="A14" s="614" t="s">
        <v>62</v>
      </c>
      <c r="B14" s="119">
        <f>B15+B16+B17</f>
        <v>14181.47</v>
      </c>
      <c r="C14" s="119">
        <f>C15+C16+C17</f>
        <v>202.73</v>
      </c>
      <c r="D14" s="119">
        <f>D15+D16+D17</f>
        <v>14384.2</v>
      </c>
      <c r="E14" s="674"/>
      <c r="F14" s="76">
        <f>F11+F12+F13</f>
        <v>26846.2</v>
      </c>
      <c r="G14">
        <v>20</v>
      </c>
      <c r="H14" t="s">
        <v>5</v>
      </c>
    </row>
    <row r="15" spans="1:9" ht="12.95" customHeight="1" x14ac:dyDescent="0.25">
      <c r="A15" s="468" t="s">
        <v>880</v>
      </c>
      <c r="B15" s="513">
        <v>128.58000000000001</v>
      </c>
      <c r="C15" s="513">
        <f>D15-B15</f>
        <v>202.73</v>
      </c>
      <c r="D15" s="513">
        <f>(60.6*0.68)*12*67%</f>
        <v>331.31</v>
      </c>
      <c r="E15" s="675"/>
      <c r="G15">
        <f>G13+G14</f>
        <v>100</v>
      </c>
    </row>
    <row r="16" spans="1:9" ht="12.95" customHeight="1" x14ac:dyDescent="0.25">
      <c r="A16" s="468" t="s">
        <v>908</v>
      </c>
      <c r="B16" s="513">
        <f>D16</f>
        <v>2763.12</v>
      </c>
      <c r="C16" s="513"/>
      <c r="D16" s="513">
        <f>(505.4*0.68)*67%*12</f>
        <v>2763.12</v>
      </c>
      <c r="E16" s="675"/>
      <c r="F16" s="613">
        <f>F14*G13%</f>
        <v>21476.959999999999</v>
      </c>
      <c r="G16" s="560"/>
    </row>
    <row r="17" spans="1:7" ht="12.95" customHeight="1" x14ac:dyDescent="0.25">
      <c r="A17" s="468" t="s">
        <v>836</v>
      </c>
      <c r="B17" s="530">
        <f>D17</f>
        <v>11289.77</v>
      </c>
      <c r="C17" s="530"/>
      <c r="D17" s="530">
        <f>(2065*0.68)*12*67%</f>
        <v>11289.77</v>
      </c>
      <c r="E17" s="676"/>
      <c r="F17" s="613">
        <f>F14*G14%</f>
        <v>5369.24</v>
      </c>
    </row>
    <row r="18" spans="1:7" ht="25.5" customHeight="1" x14ac:dyDescent="0.25">
      <c r="A18" s="83" t="s">
        <v>593</v>
      </c>
      <c r="B18" s="119">
        <f>B19</f>
        <v>48240</v>
      </c>
      <c r="C18" s="119">
        <f>C19</f>
        <v>12060</v>
      </c>
      <c r="D18" s="119">
        <f>B18+C18</f>
        <v>60300</v>
      </c>
      <c r="E18" s="674"/>
      <c r="F18" s="76"/>
    </row>
    <row r="19" spans="1:7" ht="12.95" customHeight="1" x14ac:dyDescent="0.25">
      <c r="A19" s="468" t="s">
        <v>683</v>
      </c>
      <c r="B19" s="514">
        <f>D19/G15*G13</f>
        <v>48240</v>
      </c>
      <c r="C19" s="514">
        <f>D19/G15*G14</f>
        <v>12060</v>
      </c>
      <c r="D19" s="514">
        <f>7500*12*67%</f>
        <v>60300</v>
      </c>
      <c r="E19" s="677"/>
      <c r="F19" s="76"/>
    </row>
    <row r="20" spans="1:7" ht="39.75" customHeight="1" x14ac:dyDescent="0.25">
      <c r="A20" s="121" t="s">
        <v>759</v>
      </c>
      <c r="B20" s="139">
        <f>B21</f>
        <v>22800</v>
      </c>
      <c r="C20" s="139">
        <f>C21</f>
        <v>5700</v>
      </c>
      <c r="D20" s="126">
        <f>B20+C20</f>
        <v>28500</v>
      </c>
      <c r="E20" s="499"/>
      <c r="F20" s="76"/>
    </row>
    <row r="21" spans="1:7" ht="15" customHeight="1" x14ac:dyDescent="0.25">
      <c r="A21" s="468" t="s">
        <v>760</v>
      </c>
      <c r="B21" s="591">
        <f>D21*G13%</f>
        <v>22800</v>
      </c>
      <c r="C21" s="591">
        <f>D21*G14%</f>
        <v>5700</v>
      </c>
      <c r="D21" s="126">
        <f>2375*12</f>
        <v>28500</v>
      </c>
      <c r="E21" s="499"/>
    </row>
    <row r="22" spans="1:7" ht="27" customHeight="1" x14ac:dyDescent="0.25">
      <c r="A22" s="167" t="s">
        <v>828</v>
      </c>
      <c r="B22" s="517">
        <f>B9+B18+B20</f>
        <v>92516.97</v>
      </c>
      <c r="C22" s="517">
        <f>C9+C18+C20</f>
        <v>23129.23</v>
      </c>
      <c r="D22" s="517">
        <f>D9+D18+D20</f>
        <v>115646.2</v>
      </c>
      <c r="E22" s="678"/>
    </row>
    <row r="25" spans="1:7" x14ac:dyDescent="0.25">
      <c r="F25" s="76">
        <f>D13+D17</f>
        <v>15440.41</v>
      </c>
    </row>
    <row r="28" spans="1:7" x14ac:dyDescent="0.25">
      <c r="A28" s="64" t="s">
        <v>824</v>
      </c>
      <c r="C28" s="509" t="s">
        <v>825</v>
      </c>
      <c r="F28" s="161"/>
      <c r="G28" s="162"/>
    </row>
    <row r="29" spans="1:7" x14ac:dyDescent="0.25">
      <c r="C29" s="509"/>
      <c r="F29" s="161"/>
      <c r="G29" s="162"/>
    </row>
    <row r="30" spans="1:7" x14ac:dyDescent="0.25">
      <c r="A30" s="68"/>
      <c r="C30" s="68"/>
      <c r="F30" s="161"/>
      <c r="G30" s="161"/>
    </row>
    <row r="31" spans="1:7" x14ac:dyDescent="0.25">
      <c r="A31" s="64" t="s">
        <v>99</v>
      </c>
      <c r="C31" s="64" t="s">
        <v>897</v>
      </c>
      <c r="F31" s="161"/>
      <c r="G31" s="162"/>
    </row>
    <row r="33" spans="2:3" x14ac:dyDescent="0.25">
      <c r="B33" s="584"/>
      <c r="C33" s="584"/>
    </row>
    <row r="34" spans="2:3" x14ac:dyDescent="0.25">
      <c r="B34" s="584"/>
      <c r="C34" s="584"/>
    </row>
  </sheetData>
  <mergeCells count="4">
    <mergeCell ref="B6:D6"/>
    <mergeCell ref="A6:A8"/>
    <mergeCell ref="B7:D7"/>
    <mergeCell ref="A3:D3"/>
  </mergeCells>
  <phoneticPr fontId="17" type="noConversion"/>
  <pageMargins left="0.70866141732283472" right="0.70866141732283472" top="0" bottom="0" header="0" footer="0"/>
  <pageSetup paperSize="9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D7" sqref="D7"/>
    </sheetView>
  </sheetViews>
  <sheetFormatPr defaultRowHeight="15" x14ac:dyDescent="0.25"/>
  <cols>
    <col min="1" max="1" width="27.140625" style="3" customWidth="1"/>
    <col min="2" max="2" width="9.42578125" style="3" customWidth="1"/>
    <col min="3" max="3" width="9.140625" style="3" customWidth="1"/>
    <col min="4" max="5" width="8.42578125" style="3" customWidth="1"/>
    <col min="6" max="6" width="9.42578125" style="3" customWidth="1"/>
    <col min="7" max="7" width="10.42578125" bestFit="1" customWidth="1"/>
    <col min="8" max="8" width="9.42578125" bestFit="1" customWidth="1"/>
    <col min="9" max="9" width="11.5703125" customWidth="1"/>
    <col min="10" max="10" width="12.140625" customWidth="1"/>
    <col min="11" max="11" width="11" customWidth="1"/>
  </cols>
  <sheetData>
    <row r="1" spans="1:12" ht="37.5" customHeight="1" x14ac:dyDescent="0.25">
      <c r="A1" s="913" t="s">
        <v>624</v>
      </c>
      <c r="B1" s="913"/>
      <c r="C1" s="913"/>
      <c r="D1" s="913"/>
      <c r="E1" s="913"/>
      <c r="F1" s="913"/>
    </row>
    <row r="2" spans="1:12" ht="15.95" customHeight="1" x14ac:dyDescent="0.25"/>
    <row r="3" spans="1:12" ht="26.25" customHeight="1" x14ac:dyDescent="0.25">
      <c r="A3" s="791" t="s">
        <v>826</v>
      </c>
      <c r="B3" s="886" t="s">
        <v>751</v>
      </c>
      <c r="C3" s="886"/>
      <c r="D3" s="886"/>
      <c r="E3" s="886"/>
      <c r="F3" s="887"/>
      <c r="I3" s="914" t="s">
        <v>773</v>
      </c>
      <c r="J3" s="914"/>
      <c r="K3" s="914"/>
      <c r="L3" s="71"/>
    </row>
    <row r="4" spans="1:12" ht="15.95" customHeight="1" x14ac:dyDescent="0.25">
      <c r="A4" s="791"/>
      <c r="B4" s="915" t="s">
        <v>602</v>
      </c>
      <c r="C4" s="916"/>
      <c r="D4" s="916"/>
      <c r="E4" s="916"/>
      <c r="F4" s="917"/>
      <c r="I4" s="138">
        <v>12</v>
      </c>
      <c r="J4" s="138">
        <v>8</v>
      </c>
      <c r="K4" s="138">
        <v>11</v>
      </c>
      <c r="L4" s="165">
        <v>16</v>
      </c>
    </row>
    <row r="5" spans="1:12" ht="15.95" customHeight="1" x14ac:dyDescent="0.25">
      <c r="A5" s="576"/>
      <c r="B5" s="73">
        <v>401102</v>
      </c>
      <c r="C5" s="73">
        <v>401103</v>
      </c>
      <c r="D5" s="73">
        <v>401202</v>
      </c>
      <c r="E5" s="73">
        <v>401203</v>
      </c>
      <c r="F5" s="73" t="s">
        <v>854</v>
      </c>
      <c r="I5" s="138"/>
      <c r="J5" s="138"/>
      <c r="K5" s="138"/>
      <c r="L5" s="165"/>
    </row>
    <row r="6" spans="1:12" ht="48.75" customHeight="1" x14ac:dyDescent="0.25">
      <c r="A6" s="121" t="s">
        <v>428</v>
      </c>
      <c r="B6" s="81">
        <f>G6*90%</f>
        <v>1259686.4099999999</v>
      </c>
      <c r="C6" s="81">
        <f>G6*10%</f>
        <v>139965.16</v>
      </c>
      <c r="D6" s="81">
        <f>H6*90%</f>
        <v>314921.59999999998</v>
      </c>
      <c r="E6" s="81">
        <f>H6*10%</f>
        <v>34991.29</v>
      </c>
      <c r="F6" s="126">
        <f>1749564.46</f>
        <v>1749564.46</v>
      </c>
      <c r="G6" s="76">
        <f>F6/G24*G22</f>
        <v>1399651.57</v>
      </c>
      <c r="H6" s="76">
        <f>F6/G24*G23</f>
        <v>349912.89</v>
      </c>
      <c r="I6" s="142">
        <f>96180.8</f>
        <v>96180.800000000003</v>
      </c>
      <c r="J6" s="138">
        <f>(176000-123093.28)*1.19735*1.15*1.18</f>
        <v>85963.047637544005</v>
      </c>
      <c r="K6" s="138">
        <f>11702.55</f>
        <v>11702.55</v>
      </c>
      <c r="L6" s="71"/>
    </row>
    <row r="7" spans="1:12" ht="12.75" customHeight="1" x14ac:dyDescent="0.25">
      <c r="A7" s="698" t="s">
        <v>880</v>
      </c>
      <c r="B7" s="699">
        <f>G7*90%</f>
        <v>665163.73</v>
      </c>
      <c r="C7" s="699">
        <f>G7*10%</f>
        <v>73907.08</v>
      </c>
      <c r="D7" s="699">
        <f>H7*90%</f>
        <v>166290.92000000001</v>
      </c>
      <c r="E7" s="699">
        <f>H7*10%</f>
        <v>18476.77</v>
      </c>
      <c r="F7" s="700">
        <f>923838.5</f>
        <v>923838.5</v>
      </c>
      <c r="G7" s="76">
        <f>F7/G24*G22+0.01</f>
        <v>739070.81</v>
      </c>
      <c r="H7" s="76">
        <f>F7/G24*G23-0.01</f>
        <v>184767.69</v>
      </c>
      <c r="I7" s="142"/>
      <c r="J7" s="138"/>
      <c r="K7" s="138"/>
      <c r="L7" s="71"/>
    </row>
    <row r="8" spans="1:12" ht="12.75" customHeight="1" x14ac:dyDescent="0.25">
      <c r="A8" s="698" t="s">
        <v>882</v>
      </c>
      <c r="B8" s="699">
        <f>G8*90%</f>
        <v>525208.18999999994</v>
      </c>
      <c r="C8" s="699">
        <f>G8*10%</f>
        <v>58356.47</v>
      </c>
      <c r="D8" s="699">
        <f>H8*90%</f>
        <v>131302.04999999999</v>
      </c>
      <c r="E8" s="699">
        <f>H8*10%</f>
        <v>14589.12</v>
      </c>
      <c r="F8" s="700">
        <v>729455.83</v>
      </c>
      <c r="G8" s="76">
        <f>F8/G24*G22</f>
        <v>583564.66</v>
      </c>
      <c r="H8" s="76">
        <f>F8/G24*G23</f>
        <v>145891.17000000001</v>
      </c>
      <c r="I8" s="142"/>
      <c r="J8" s="138"/>
      <c r="K8" s="138"/>
      <c r="L8" s="71"/>
    </row>
    <row r="9" spans="1:12" ht="12.75" customHeight="1" x14ac:dyDescent="0.25">
      <c r="A9" s="698" t="s">
        <v>881</v>
      </c>
      <c r="B9" s="699">
        <f>G9*90%</f>
        <v>69314.490000000005</v>
      </c>
      <c r="C9" s="699">
        <f>G9*10%</f>
        <v>7701.61</v>
      </c>
      <c r="D9" s="699">
        <f>H9*90%</f>
        <v>17328.63</v>
      </c>
      <c r="E9" s="699">
        <f>H9*10%</f>
        <v>1925.4</v>
      </c>
      <c r="F9" s="700">
        <v>96270.13</v>
      </c>
      <c r="G9" s="76">
        <f>F9/G24*G22</f>
        <v>77016.100000000006</v>
      </c>
      <c r="H9" s="76">
        <f>F9/G24*G23</f>
        <v>19254.03</v>
      </c>
      <c r="I9" s="142"/>
      <c r="J9" s="138"/>
      <c r="K9" s="138"/>
      <c r="L9" s="71"/>
    </row>
    <row r="10" spans="1:12" ht="54.75" customHeight="1" x14ac:dyDescent="0.25">
      <c r="A10" s="121" t="s">
        <v>64</v>
      </c>
      <c r="B10" s="81">
        <f>G10*50%</f>
        <v>815474.01</v>
      </c>
      <c r="C10" s="81">
        <f t="shared" ref="C10:D13" si="0">G10*50%</f>
        <v>815474.01</v>
      </c>
      <c r="D10" s="81">
        <f t="shared" si="0"/>
        <v>203868.51</v>
      </c>
      <c r="E10" s="81">
        <f>H10*50%-0.01</f>
        <v>203868.5</v>
      </c>
      <c r="F10" s="126">
        <f>2038685.03</f>
        <v>2038685.03</v>
      </c>
      <c r="G10" s="76">
        <f>F10/G24*G22</f>
        <v>1630948.02</v>
      </c>
      <c r="H10" s="76">
        <f>F10/G24*G23</f>
        <v>407737.01</v>
      </c>
      <c r="I10" s="142">
        <f>98774.12+13824.14</f>
        <v>112598.26</v>
      </c>
      <c r="J10" s="142">
        <f>285.39*938.84*1.18+1628.89*13.63*1.18+47063.29</f>
        <v>389425.33</v>
      </c>
      <c r="K10" s="138">
        <f>22621.89</f>
        <v>22621.89</v>
      </c>
      <c r="L10" s="71"/>
    </row>
    <row r="11" spans="1:12" ht="12.75" customHeight="1" x14ac:dyDescent="0.25">
      <c r="A11" s="698" t="s">
        <v>880</v>
      </c>
      <c r="B11" s="699">
        <f>G11*50%</f>
        <v>575459.66</v>
      </c>
      <c r="C11" s="699">
        <f t="shared" si="0"/>
        <v>575459.66</v>
      </c>
      <c r="D11" s="699">
        <f t="shared" si="0"/>
        <v>143864.92000000001</v>
      </c>
      <c r="E11" s="699">
        <f>H11*50%</f>
        <v>143864.92000000001</v>
      </c>
      <c r="F11" s="700">
        <f>1394134.87+44514.28</f>
        <v>1438649.15</v>
      </c>
      <c r="G11" s="76">
        <f>F11/G24*G22</f>
        <v>1150919.32</v>
      </c>
      <c r="H11" s="76">
        <f>F11/G24*G23</f>
        <v>287729.83</v>
      </c>
      <c r="I11" s="142"/>
      <c r="J11" s="142"/>
      <c r="K11" s="138"/>
      <c r="L11" s="71"/>
    </row>
    <row r="12" spans="1:12" ht="12.75" customHeight="1" x14ac:dyDescent="0.25">
      <c r="A12" s="698" t="s">
        <v>882</v>
      </c>
      <c r="B12" s="699">
        <f>G12*50%</f>
        <v>11792.99</v>
      </c>
      <c r="C12" s="699">
        <f t="shared" si="0"/>
        <v>11792.99</v>
      </c>
      <c r="D12" s="699">
        <f t="shared" si="0"/>
        <v>2948.25</v>
      </c>
      <c r="E12" s="699">
        <f>H12*50%</f>
        <v>2948.25</v>
      </c>
      <c r="F12" s="700">
        <f>19547.3+9935.18</f>
        <v>29482.48</v>
      </c>
      <c r="G12" s="76">
        <f>F12/G24*G22</f>
        <v>23585.98</v>
      </c>
      <c r="H12" s="76">
        <f>F12/G24*G23</f>
        <v>5896.5</v>
      </c>
      <c r="I12" s="142"/>
      <c r="J12" s="142"/>
      <c r="K12" s="138"/>
      <c r="L12" s="71"/>
    </row>
    <row r="13" spans="1:12" ht="12.75" customHeight="1" x14ac:dyDescent="0.25">
      <c r="A13" s="698" t="s">
        <v>881</v>
      </c>
      <c r="B13" s="699">
        <f>G13*50%</f>
        <v>228221.36</v>
      </c>
      <c r="C13" s="699">
        <f t="shared" si="0"/>
        <v>228221.36</v>
      </c>
      <c r="D13" s="699">
        <f t="shared" si="0"/>
        <v>57055.34</v>
      </c>
      <c r="E13" s="699">
        <f>H13*50%-0.01</f>
        <v>57055.33</v>
      </c>
      <c r="F13" s="700">
        <f>519127.96+51425.44</f>
        <v>570553.4</v>
      </c>
      <c r="G13" s="76">
        <f>F13/G24*G22</f>
        <v>456442.72</v>
      </c>
      <c r="H13" s="76">
        <f>F13/G24*G23</f>
        <v>114110.68</v>
      </c>
      <c r="I13" s="142"/>
      <c r="J13" s="142"/>
      <c r="K13" s="138"/>
      <c r="L13" s="71"/>
    </row>
    <row r="14" spans="1:12" ht="52.5" customHeight="1" x14ac:dyDescent="0.25">
      <c r="A14" s="121" t="s">
        <v>65</v>
      </c>
      <c r="B14" s="81">
        <f>F14/G24*G22</f>
        <v>211116.89</v>
      </c>
      <c r="C14" s="81"/>
      <c r="D14" s="81">
        <f>F14/G24*G23</f>
        <v>52779.22</v>
      </c>
      <c r="E14" s="81"/>
      <c r="F14" s="126">
        <f>263896.11</f>
        <v>263896.11</v>
      </c>
      <c r="I14" s="138">
        <f>40110.49+20772.78+20712.45</f>
        <v>81595.72</v>
      </c>
      <c r="J14" s="142">
        <f>1746.19*18.95*1.18+1746.19*9.81*1.18+1180.43*9.81*1.18</f>
        <v>72924.52</v>
      </c>
      <c r="K14" s="138">
        <f>2023.58+1047.98</f>
        <v>3071.56</v>
      </c>
      <c r="L14" s="71"/>
    </row>
    <row r="15" spans="1:12" ht="12.75" customHeight="1" x14ac:dyDescent="0.25">
      <c r="A15" s="698" t="s">
        <v>880</v>
      </c>
      <c r="B15" s="81">
        <f>F15/G24*G22</f>
        <v>59395.3</v>
      </c>
      <c r="C15" s="81"/>
      <c r="D15" s="81">
        <f>F15/G24*G23</f>
        <v>14848.82</v>
      </c>
      <c r="E15" s="81"/>
      <c r="F15" s="126">
        <f>32868.6+17004.18+24371.34</f>
        <v>74244.12</v>
      </c>
      <c r="I15" s="138"/>
      <c r="J15" s="142"/>
      <c r="K15" s="138"/>
      <c r="L15" s="71"/>
    </row>
    <row r="16" spans="1:12" ht="12.75" customHeight="1" x14ac:dyDescent="0.25">
      <c r="A16" s="698" t="s">
        <v>882</v>
      </c>
      <c r="B16" s="81">
        <f>F16/G24*G22</f>
        <v>41831.96</v>
      </c>
      <c r="C16" s="81"/>
      <c r="D16" s="81">
        <f>F16/G24*G23</f>
        <v>10457.99</v>
      </c>
      <c r="E16" s="81"/>
      <c r="F16" s="126">
        <f>34266.37+18023.58</f>
        <v>52289.95</v>
      </c>
      <c r="I16" s="138"/>
      <c r="J16" s="142"/>
      <c r="K16" s="138"/>
      <c r="L16" s="71"/>
    </row>
    <row r="17" spans="1:12" ht="12.75" customHeight="1" x14ac:dyDescent="0.25">
      <c r="A17" s="698" t="s">
        <v>881</v>
      </c>
      <c r="B17" s="81">
        <f>F17/G24*G22</f>
        <v>109889.63</v>
      </c>
      <c r="C17" s="81"/>
      <c r="D17" s="81">
        <f>F17/G24*G23</f>
        <v>27472.41</v>
      </c>
      <c r="E17" s="81"/>
      <c r="F17" s="126">
        <f>64744.11+33494.47+39123.46</f>
        <v>137362.04</v>
      </c>
      <c r="I17" s="138"/>
      <c r="J17" s="142"/>
      <c r="K17" s="138"/>
      <c r="L17" s="71"/>
    </row>
    <row r="18" spans="1:12" ht="26.25" customHeight="1" x14ac:dyDescent="0.25">
      <c r="A18" s="73" t="s">
        <v>784</v>
      </c>
      <c r="B18" s="74">
        <f>B6+B10+B14</f>
        <v>2286277.31</v>
      </c>
      <c r="C18" s="74">
        <f>C6+C10+C14</f>
        <v>955439.17</v>
      </c>
      <c r="D18" s="74">
        <f>D6+D10+D14</f>
        <v>571569.32999999996</v>
      </c>
      <c r="E18" s="74">
        <f>E6+E10+E14</f>
        <v>238859.79</v>
      </c>
      <c r="F18" s="74">
        <f>F6+F10+F14</f>
        <v>4052145.6</v>
      </c>
      <c r="I18" s="142">
        <f>I6+I10+I14</f>
        <v>290374.78000000003</v>
      </c>
      <c r="J18" s="142">
        <f>J6+J10+J14</f>
        <v>548312.9</v>
      </c>
      <c r="K18" s="142">
        <f>K6+K10+K14</f>
        <v>37396</v>
      </c>
      <c r="L18" s="78">
        <f>'[2]смета от 11.01.2012'!$H$45</f>
        <v>20640.82</v>
      </c>
    </row>
    <row r="20" spans="1:12" x14ac:dyDescent="0.25">
      <c r="B20" s="615"/>
      <c r="C20" s="615"/>
      <c r="D20" s="615"/>
      <c r="E20" s="615"/>
      <c r="I20" s="76">
        <f>'[2]смета от 11.01.2012'!$AB$45</f>
        <v>290374.78000000003</v>
      </c>
      <c r="J20" s="76">
        <f>'[2]смета от 11.01.2012'!$AF$45</f>
        <v>548312.9</v>
      </c>
    </row>
    <row r="21" spans="1:12" x14ac:dyDescent="0.25">
      <c r="A21" s="64" t="s">
        <v>824</v>
      </c>
      <c r="B21" s="509"/>
      <c r="D21" s="509" t="s">
        <v>825</v>
      </c>
      <c r="E21" s="509"/>
      <c r="J21" s="76">
        <f>J20-J18</f>
        <v>0</v>
      </c>
    </row>
    <row r="22" spans="1:12" x14ac:dyDescent="0.25">
      <c r="A22" s="68"/>
      <c r="D22" s="68"/>
      <c r="E22" s="68"/>
      <c r="G22">
        <v>80</v>
      </c>
      <c r="H22" t="s">
        <v>4</v>
      </c>
    </row>
    <row r="23" spans="1:12" x14ac:dyDescent="0.25">
      <c r="A23" s="64" t="s">
        <v>99</v>
      </c>
      <c r="D23" s="64" t="s">
        <v>897</v>
      </c>
      <c r="E23" s="64"/>
      <c r="G23">
        <v>20</v>
      </c>
      <c r="H23" t="s">
        <v>5</v>
      </c>
    </row>
    <row r="24" spans="1:12" x14ac:dyDescent="0.25">
      <c r="G24">
        <f>G22+G23</f>
        <v>100</v>
      </c>
    </row>
    <row r="25" spans="1:12" x14ac:dyDescent="0.25">
      <c r="A25" s="208">
        <v>15</v>
      </c>
      <c r="B25" s="508">
        <f t="shared" ref="B25:E27" si="1">B7+B11+B15</f>
        <v>1300018.69</v>
      </c>
      <c r="C25" s="508">
        <f t="shared" si="1"/>
        <v>649366.74</v>
      </c>
      <c r="D25" s="508">
        <f t="shared" si="1"/>
        <v>325004.65999999997</v>
      </c>
      <c r="E25" s="508">
        <f t="shared" si="1"/>
        <v>162341.69</v>
      </c>
      <c r="F25" s="142">
        <f>B25+C25+D25+E25</f>
        <v>2436731.7799999998</v>
      </c>
    </row>
    <row r="26" spans="1:12" x14ac:dyDescent="0.25">
      <c r="A26" s="208">
        <v>11</v>
      </c>
      <c r="B26" s="508">
        <f t="shared" si="1"/>
        <v>578833.14</v>
      </c>
      <c r="C26" s="508">
        <f t="shared" si="1"/>
        <v>70149.460000000006</v>
      </c>
      <c r="D26" s="508">
        <f t="shared" si="1"/>
        <v>144708.29</v>
      </c>
      <c r="E26" s="508">
        <f t="shared" si="1"/>
        <v>17537.37</v>
      </c>
      <c r="F26" s="142">
        <f>B26+C26+D26+E26</f>
        <v>811228.26</v>
      </c>
    </row>
    <row r="27" spans="1:12" x14ac:dyDescent="0.25">
      <c r="A27" s="208">
        <v>8</v>
      </c>
      <c r="B27" s="508">
        <f t="shared" si="1"/>
        <v>407425.48</v>
      </c>
      <c r="C27" s="508">
        <f t="shared" si="1"/>
        <v>235922.97</v>
      </c>
      <c r="D27" s="508">
        <f t="shared" si="1"/>
        <v>101856.38</v>
      </c>
      <c r="E27" s="508">
        <f t="shared" si="1"/>
        <v>58980.73</v>
      </c>
      <c r="F27" s="142">
        <f>B27+C27+D27+E27</f>
        <v>804185.56</v>
      </c>
    </row>
    <row r="28" spans="1:12" x14ac:dyDescent="0.25">
      <c r="A28" s="208"/>
      <c r="B28" s="142">
        <f>SUM(B25:B27)</f>
        <v>2286277.31</v>
      </c>
      <c r="C28" s="142">
        <f>SUM(C25:C27)</f>
        <v>955439.17</v>
      </c>
      <c r="D28" s="142">
        <f>SUM(D25:D27)</f>
        <v>571569.32999999996</v>
      </c>
      <c r="E28" s="142">
        <f>SUM(E25:E27)</f>
        <v>238859.79</v>
      </c>
      <c r="F28" s="142">
        <f>SUM(F25:F27)</f>
        <v>4052145.6</v>
      </c>
    </row>
  </sheetData>
  <mergeCells count="5">
    <mergeCell ref="A3:A4"/>
    <mergeCell ref="A1:F1"/>
    <mergeCell ref="I3:K3"/>
    <mergeCell ref="B3:F3"/>
    <mergeCell ref="B4:F4"/>
  </mergeCells>
  <phoneticPr fontId="17" type="noConversion"/>
  <pageMargins left="0.7" right="0.7" top="0.75" bottom="0.75" header="0.3" footer="0.3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I7" sqref="I7:K7"/>
    </sheetView>
  </sheetViews>
  <sheetFormatPr defaultRowHeight="15" x14ac:dyDescent="0.25"/>
  <cols>
    <col min="1" max="1" width="27.140625" style="3" customWidth="1"/>
    <col min="2" max="2" width="9.42578125" style="3" customWidth="1"/>
    <col min="3" max="3" width="9.140625" style="3" customWidth="1"/>
    <col min="4" max="5" width="8.42578125" style="3" customWidth="1"/>
    <col min="6" max="6" width="9.42578125" style="3" customWidth="1"/>
    <col min="7" max="7" width="10.42578125" bestFit="1" customWidth="1"/>
    <col min="8" max="8" width="9.42578125" bestFit="1" customWidth="1"/>
    <col min="9" max="9" width="11.5703125" customWidth="1"/>
    <col min="10" max="10" width="12.140625" customWidth="1"/>
    <col min="11" max="11" width="11" customWidth="1"/>
  </cols>
  <sheetData>
    <row r="1" spans="1:12" ht="37.5" customHeight="1" x14ac:dyDescent="0.25">
      <c r="A1" s="913" t="s">
        <v>624</v>
      </c>
      <c r="B1" s="913"/>
      <c r="C1" s="913"/>
      <c r="D1" s="913"/>
      <c r="E1" s="913"/>
      <c r="F1" s="913"/>
    </row>
    <row r="2" spans="1:12" ht="15.95" customHeight="1" x14ac:dyDescent="0.25"/>
    <row r="3" spans="1:12" ht="26.25" customHeight="1" x14ac:dyDescent="0.25">
      <c r="A3" s="791" t="s">
        <v>826</v>
      </c>
      <c r="B3" s="886" t="s">
        <v>751</v>
      </c>
      <c r="C3" s="886"/>
      <c r="D3" s="886"/>
      <c r="E3" s="886"/>
      <c r="F3" s="887"/>
      <c r="I3" s="914" t="s">
        <v>773</v>
      </c>
      <c r="J3" s="914"/>
      <c r="K3" s="914"/>
      <c r="L3" s="71"/>
    </row>
    <row r="4" spans="1:12" ht="15.95" customHeight="1" x14ac:dyDescent="0.25">
      <c r="A4" s="791"/>
      <c r="B4" s="915" t="s">
        <v>602</v>
      </c>
      <c r="C4" s="916"/>
      <c r="D4" s="916"/>
      <c r="E4" s="916"/>
      <c r="F4" s="917"/>
      <c r="I4" s="138">
        <v>12</v>
      </c>
      <c r="J4" s="138">
        <v>8</v>
      </c>
      <c r="K4" s="138">
        <v>11</v>
      </c>
      <c r="L4" s="165">
        <v>16</v>
      </c>
    </row>
    <row r="5" spans="1:12" ht="15.95" customHeight="1" x14ac:dyDescent="0.25">
      <c r="A5" s="576"/>
      <c r="B5" s="73">
        <v>401102</v>
      </c>
      <c r="C5" s="73">
        <v>401103</v>
      </c>
      <c r="D5" s="73">
        <v>401202</v>
      </c>
      <c r="E5" s="73">
        <v>401203</v>
      </c>
      <c r="F5" s="73" t="s">
        <v>854</v>
      </c>
      <c r="I5" s="138"/>
      <c r="J5" s="138"/>
      <c r="K5" s="138"/>
      <c r="L5" s="165"/>
    </row>
    <row r="6" spans="1:12" ht="48.75" customHeight="1" x14ac:dyDescent="0.25">
      <c r="A6" s="121" t="s">
        <v>63</v>
      </c>
      <c r="B6" s="116">
        <f>G6*90%</f>
        <v>1259686.4099999999</v>
      </c>
      <c r="C6" s="116">
        <f>G6*10%</f>
        <v>139965.16</v>
      </c>
      <c r="D6" s="116">
        <f>H6*90%</f>
        <v>314921.59999999998</v>
      </c>
      <c r="E6" s="116">
        <f>H6*10%</f>
        <v>34991.29</v>
      </c>
      <c r="F6" s="126">
        <f>1749564.46</f>
        <v>1749564.46</v>
      </c>
      <c r="G6" s="76">
        <f>F6/G15*G13</f>
        <v>1399651.57</v>
      </c>
      <c r="H6" s="76">
        <f>F6/G15*G14</f>
        <v>349912.89</v>
      </c>
      <c r="I6" s="142">
        <f>96180.8</f>
        <v>96180.800000000003</v>
      </c>
      <c r="J6" s="138">
        <f>(176000-123093.28)*1.19735*1.15*1.18</f>
        <v>85963.047637544005</v>
      </c>
      <c r="K6" s="138">
        <f>11702.55</f>
        <v>11702.55</v>
      </c>
      <c r="L6" s="71"/>
    </row>
    <row r="7" spans="1:12" ht="54.75" customHeight="1" x14ac:dyDescent="0.25">
      <c r="A7" s="121" t="s">
        <v>64</v>
      </c>
      <c r="B7" s="116">
        <f>G7*50%</f>
        <v>815474.01</v>
      </c>
      <c r="C7" s="116">
        <f>G7*50%</f>
        <v>815474.01</v>
      </c>
      <c r="D7" s="116">
        <f>H7*50%</f>
        <v>203868.51</v>
      </c>
      <c r="E7" s="116">
        <f>H7*50%-0.01</f>
        <v>203868.5</v>
      </c>
      <c r="F7" s="126">
        <f>2038685.03</f>
        <v>2038685.03</v>
      </c>
      <c r="G7" s="76">
        <f>F7/G15*G13</f>
        <v>1630948.02</v>
      </c>
      <c r="H7" s="76">
        <f>F7/G15*G14</f>
        <v>407737.01</v>
      </c>
      <c r="I7" s="142">
        <f>98774.12+13824.14</f>
        <v>112598.26</v>
      </c>
      <c r="J7" s="142">
        <f>285.39*938.84*1.18+1628.89*13.63*1.18+47063.29</f>
        <v>389425.33</v>
      </c>
      <c r="K7" s="138">
        <f>22621.89</f>
        <v>22621.89</v>
      </c>
      <c r="L7" s="71"/>
    </row>
    <row r="8" spans="1:12" ht="52.5" customHeight="1" x14ac:dyDescent="0.25">
      <c r="A8" s="121" t="s">
        <v>65</v>
      </c>
      <c r="B8" s="116">
        <f>F8/G15*G13</f>
        <v>211116.89</v>
      </c>
      <c r="C8" s="116"/>
      <c r="D8" s="116">
        <f>F8/G15*G14</f>
        <v>52779.22</v>
      </c>
      <c r="E8" s="116"/>
      <c r="F8" s="126">
        <f>263896.11</f>
        <v>263896.11</v>
      </c>
      <c r="I8" s="138">
        <f>40110.49+20772.78+20712.45</f>
        <v>81595.72</v>
      </c>
      <c r="J8" s="142">
        <f>1746.19*18.95*1.18+1746.19*9.81*1.18+1180.43*9.81*1.18</f>
        <v>72924.52</v>
      </c>
      <c r="K8" s="138">
        <f>2023.58+1047.98</f>
        <v>3071.56</v>
      </c>
      <c r="L8" s="71"/>
    </row>
    <row r="9" spans="1:12" ht="26.25" customHeight="1" x14ac:dyDescent="0.25">
      <c r="A9" s="73" t="s">
        <v>784</v>
      </c>
      <c r="B9" s="74">
        <f>B6+B7+B8</f>
        <v>2286277.31</v>
      </c>
      <c r="C9" s="74">
        <f>C6+C7+C8</f>
        <v>955439.17</v>
      </c>
      <c r="D9" s="74">
        <f>D6+D7+D8</f>
        <v>571569.32999999996</v>
      </c>
      <c r="E9" s="74">
        <f>E6+E7+E8</f>
        <v>238859.79</v>
      </c>
      <c r="F9" s="74">
        <f>F6+F7+F8</f>
        <v>4052145.6</v>
      </c>
      <c r="I9" s="142">
        <f>I6+I7+I8</f>
        <v>290374.78000000003</v>
      </c>
      <c r="J9" s="142">
        <f>J6+J7+J8</f>
        <v>548312.9</v>
      </c>
      <c r="K9" s="142">
        <f>K6+K7+K8</f>
        <v>37396</v>
      </c>
      <c r="L9" s="78">
        <f>'[2]смета от 11.01.2012'!$H$45</f>
        <v>20640.82</v>
      </c>
    </row>
    <row r="11" spans="1:12" x14ac:dyDescent="0.25">
      <c r="B11" s="615"/>
      <c r="C11" s="615"/>
      <c r="D11" s="615"/>
      <c r="E11" s="615"/>
      <c r="I11" s="76">
        <f>'[2]смета от 11.01.2012'!$AB$45</f>
        <v>290374.78000000003</v>
      </c>
      <c r="J11" s="76">
        <f>'[2]смета от 11.01.2012'!$AF$45</f>
        <v>548312.9</v>
      </c>
    </row>
    <row r="12" spans="1:12" x14ac:dyDescent="0.25">
      <c r="A12" s="64" t="s">
        <v>824</v>
      </c>
      <c r="B12" s="509"/>
      <c r="D12" s="509" t="s">
        <v>825</v>
      </c>
      <c r="E12" s="509"/>
      <c r="J12" s="76">
        <f>J11-J9</f>
        <v>0</v>
      </c>
    </row>
    <row r="13" spans="1:12" x14ac:dyDescent="0.25">
      <c r="A13" s="68"/>
      <c r="D13" s="68"/>
      <c r="E13" s="68"/>
      <c r="G13">
        <v>80</v>
      </c>
      <c r="H13" t="s">
        <v>4</v>
      </c>
    </row>
    <row r="14" spans="1:12" x14ac:dyDescent="0.25">
      <c r="A14" s="64" t="s">
        <v>99</v>
      </c>
      <c r="D14" s="64" t="s">
        <v>897</v>
      </c>
      <c r="E14" s="64"/>
      <c r="G14">
        <v>20</v>
      </c>
      <c r="H14" t="s">
        <v>5</v>
      </c>
    </row>
    <row r="15" spans="1:12" x14ac:dyDescent="0.25">
      <c r="G15">
        <f>G13+G14</f>
        <v>100</v>
      </c>
    </row>
  </sheetData>
  <mergeCells count="5">
    <mergeCell ref="A3:A4"/>
    <mergeCell ref="A1:F1"/>
    <mergeCell ref="I3:K3"/>
    <mergeCell ref="B3:F3"/>
    <mergeCell ref="B4:F4"/>
  </mergeCells>
  <phoneticPr fontId="17" type="noConversion"/>
  <pageMargins left="0.7" right="0.7" top="0.75" bottom="0.75" header="0.3" footer="0.3"/>
  <pageSetup paperSize="9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20"/>
  <sheetViews>
    <sheetView topLeftCell="A16" workbookViewId="0">
      <selection activeCell="D9" sqref="D9:G9"/>
    </sheetView>
  </sheetViews>
  <sheetFormatPr defaultRowHeight="15" x14ac:dyDescent="0.25"/>
  <cols>
    <col min="1" max="1" width="23.140625" style="95" customWidth="1"/>
    <col min="2" max="2" width="9.140625" style="95" customWidth="1"/>
    <col min="3" max="3" width="12.5703125" style="95" customWidth="1"/>
    <col min="4" max="4" width="9.42578125" style="95" customWidth="1"/>
    <col min="5" max="5" width="8.42578125" style="95" customWidth="1"/>
    <col min="6" max="7" width="8.28515625" style="95" customWidth="1"/>
    <col min="8" max="9" width="9.42578125" style="95" customWidth="1"/>
    <col min="10" max="10" width="10.42578125" bestFit="1" customWidth="1"/>
    <col min="11" max="11" width="9.42578125" bestFit="1" customWidth="1"/>
    <col min="12" max="12" width="11.5703125" customWidth="1"/>
    <col min="13" max="13" width="12.140625" customWidth="1"/>
    <col min="14" max="14" width="11" customWidth="1"/>
  </cols>
  <sheetData>
    <row r="3" spans="1:15" ht="37.5" customHeight="1" x14ac:dyDescent="0.25">
      <c r="A3" s="913" t="s">
        <v>624</v>
      </c>
      <c r="B3" s="913"/>
      <c r="C3" s="913"/>
      <c r="D3" s="913"/>
      <c r="E3" s="913"/>
      <c r="F3" s="913"/>
      <c r="G3" s="913"/>
      <c r="H3" s="913"/>
      <c r="I3" s="913"/>
    </row>
    <row r="4" spans="1:15" ht="15.95" customHeight="1" x14ac:dyDescent="0.25"/>
    <row r="5" spans="1:15" ht="42.75" customHeight="1" x14ac:dyDescent="0.25">
      <c r="A5" s="793" t="s">
        <v>826</v>
      </c>
      <c r="B5" s="793" t="s">
        <v>699</v>
      </c>
      <c r="C5" s="885" t="s">
        <v>898</v>
      </c>
      <c r="D5" s="886"/>
      <c r="E5" s="886"/>
      <c r="F5" s="886"/>
      <c r="G5" s="886"/>
      <c r="H5" s="887"/>
      <c r="I5" s="576" t="s">
        <v>662</v>
      </c>
      <c r="L5" s="914" t="s">
        <v>773</v>
      </c>
      <c r="M5" s="914"/>
      <c r="N5" s="914"/>
      <c r="O5" s="71"/>
    </row>
    <row r="6" spans="1:15" ht="15.95" customHeight="1" x14ac:dyDescent="0.25">
      <c r="A6" s="803"/>
      <c r="B6" s="803"/>
      <c r="C6" s="90" t="s">
        <v>601</v>
      </c>
      <c r="D6" s="915" t="s">
        <v>602</v>
      </c>
      <c r="E6" s="916"/>
      <c r="F6" s="916"/>
      <c r="G6" s="916"/>
      <c r="H6" s="917"/>
      <c r="I6" s="90" t="s">
        <v>602</v>
      </c>
      <c r="L6" s="138">
        <v>12</v>
      </c>
      <c r="M6" s="138">
        <v>8</v>
      </c>
      <c r="N6" s="138">
        <v>11</v>
      </c>
      <c r="O6" s="165">
        <v>16</v>
      </c>
    </row>
    <row r="7" spans="1:15" ht="15.95" customHeight="1" x14ac:dyDescent="0.25">
      <c r="A7" s="794"/>
      <c r="B7" s="794"/>
      <c r="C7" s="73"/>
      <c r="D7" s="73">
        <v>401102</v>
      </c>
      <c r="E7" s="73">
        <v>401103</v>
      </c>
      <c r="F7" s="73">
        <v>401202</v>
      </c>
      <c r="G7" s="73">
        <v>401203</v>
      </c>
      <c r="H7" s="73" t="s">
        <v>854</v>
      </c>
      <c r="I7" s="73"/>
      <c r="L7" s="138"/>
      <c r="M7" s="138"/>
      <c r="N7" s="138"/>
      <c r="O7" s="165"/>
    </row>
    <row r="8" spans="1:15" ht="78" customHeight="1" x14ac:dyDescent="0.25">
      <c r="A8" s="121" t="s">
        <v>63</v>
      </c>
      <c r="B8" s="116">
        <f>C8+H8</f>
        <v>1943410.86</v>
      </c>
      <c r="C8" s="116">
        <f>L8+M8+N8</f>
        <v>193846.39999999999</v>
      </c>
      <c r="D8" s="116">
        <f>J8*90%</f>
        <v>1259686.4099999999</v>
      </c>
      <c r="E8" s="116">
        <f>J8*10%</f>
        <v>139965.16</v>
      </c>
      <c r="F8" s="116">
        <f>K8*90%-0.01</f>
        <v>314921.59000000003</v>
      </c>
      <c r="G8" s="116">
        <f>K8*10%</f>
        <v>34991.29</v>
      </c>
      <c r="H8" s="126">
        <f>'223 Б'!F6</f>
        <v>1749564.46</v>
      </c>
      <c r="I8" s="126">
        <f>2225419.23-H8</f>
        <v>475854.77</v>
      </c>
      <c r="J8" s="76">
        <f>H8/J17*J15</f>
        <v>1399651.57</v>
      </c>
      <c r="K8" s="76">
        <f>H8/J17*J16</f>
        <v>349912.89</v>
      </c>
      <c r="L8" s="142">
        <f>96180.8</f>
        <v>96180.800000000003</v>
      </c>
      <c r="M8" s="138">
        <f>(176000-123093.28)*1.19735*1.15*1.18</f>
        <v>85963.047637544005</v>
      </c>
      <c r="N8" s="138">
        <f>11702.55</f>
        <v>11702.55</v>
      </c>
      <c r="O8" s="71"/>
    </row>
    <row r="9" spans="1:15" ht="65.25" customHeight="1" x14ac:dyDescent="0.25">
      <c r="A9" s="121" t="s">
        <v>623</v>
      </c>
      <c r="B9" s="116">
        <f>C9+H9</f>
        <v>2563330.5099999998</v>
      </c>
      <c r="C9" s="116">
        <f>L9+M9+N9</f>
        <v>524645.48</v>
      </c>
      <c r="D9" s="116">
        <f>J9*50%</f>
        <v>815474.01</v>
      </c>
      <c r="E9" s="116">
        <f>J9*50%-0.01</f>
        <v>815474</v>
      </c>
      <c r="F9" s="116">
        <f>K9*50%</f>
        <v>203868.51</v>
      </c>
      <c r="G9" s="116">
        <f>K9*50%</f>
        <v>203868.51</v>
      </c>
      <c r="H9" s="126">
        <f>'223 Б'!F7</f>
        <v>2038685.03</v>
      </c>
      <c r="I9" s="126">
        <f>2695089.8-H9</f>
        <v>656404.77</v>
      </c>
      <c r="J9" s="76">
        <f>H9/J17*J15</f>
        <v>1630948.02</v>
      </c>
      <c r="K9" s="76">
        <f>H9/J17*J16</f>
        <v>407737.01</v>
      </c>
      <c r="L9" s="142">
        <f>98774.12+13824.14</f>
        <v>112598.26</v>
      </c>
      <c r="M9" s="142">
        <f>285.39*938.84*1.18+1628.89*13.63*1.18+47063.29</f>
        <v>389425.33</v>
      </c>
      <c r="N9" s="138">
        <f>22621.89</f>
        <v>22621.89</v>
      </c>
      <c r="O9" s="71"/>
    </row>
    <row r="10" spans="1:15" ht="65.25" customHeight="1" x14ac:dyDescent="0.25">
      <c r="A10" s="121" t="s">
        <v>65</v>
      </c>
      <c r="B10" s="116">
        <f>C10+H10</f>
        <v>442128.73</v>
      </c>
      <c r="C10" s="116">
        <f>L10+M10+N10+O11</f>
        <v>178232.62</v>
      </c>
      <c r="D10" s="116">
        <f>H10/J17*J15</f>
        <v>211116.89</v>
      </c>
      <c r="E10" s="116"/>
      <c r="F10" s="116">
        <f>H10/J17*J16</f>
        <v>52779.22</v>
      </c>
      <c r="G10" s="116"/>
      <c r="H10" s="126">
        <f>'223 Б'!F8</f>
        <v>263896.11</v>
      </c>
      <c r="I10" s="126">
        <f>323338.03-H10</f>
        <v>59441.919999999998</v>
      </c>
      <c r="L10" s="138">
        <f>40110.49+20772.78+20712.45</f>
        <v>81595.72</v>
      </c>
      <c r="M10" s="142">
        <f>1746.19*18.95*1.18+1746.19*9.81*1.18+1180.43*9.81*1.18</f>
        <v>72924.52</v>
      </c>
      <c r="N10" s="138">
        <f>2023.58+1047.98</f>
        <v>3071.56</v>
      </c>
      <c r="O10" s="71"/>
    </row>
    <row r="11" spans="1:15" ht="26.25" customHeight="1" x14ac:dyDescent="0.25">
      <c r="A11" s="73" t="s">
        <v>828</v>
      </c>
      <c r="B11" s="74">
        <f t="shared" ref="B11:H11" si="0">B8+B9+B10</f>
        <v>4948870.0999999996</v>
      </c>
      <c r="C11" s="74">
        <f t="shared" si="0"/>
        <v>896724.5</v>
      </c>
      <c r="D11" s="74">
        <f t="shared" si="0"/>
        <v>2286277.31</v>
      </c>
      <c r="E11" s="74">
        <f t="shared" si="0"/>
        <v>955439.16</v>
      </c>
      <c r="F11" s="74">
        <f t="shared" si="0"/>
        <v>571569.31999999995</v>
      </c>
      <c r="G11" s="74">
        <f t="shared" si="0"/>
        <v>238859.8</v>
      </c>
      <c r="H11" s="74">
        <f t="shared" si="0"/>
        <v>4052145.6</v>
      </c>
      <c r="I11" s="74">
        <f>I8+I9+I10</f>
        <v>1191701.46</v>
      </c>
      <c r="L11" s="142">
        <f>L8+L9+L10</f>
        <v>290374.78000000003</v>
      </c>
      <c r="M11" s="142">
        <f>M8+M9+M10</f>
        <v>548312.9</v>
      </c>
      <c r="N11" s="142">
        <f>N8+N9+N10</f>
        <v>37396</v>
      </c>
      <c r="O11" s="78">
        <f>'[2]смета от 11.01.2012'!$H$45</f>
        <v>20640.82</v>
      </c>
    </row>
    <row r="13" spans="1:15" x14ac:dyDescent="0.25">
      <c r="C13" s="188"/>
      <c r="D13" s="188"/>
      <c r="E13" s="188"/>
      <c r="F13" s="188"/>
      <c r="G13" s="188"/>
      <c r="L13" s="76">
        <f>'[2]смета от 11.01.2012'!$AB$45</f>
        <v>290374.78000000003</v>
      </c>
      <c r="M13" s="76">
        <f>'[2]смета от 11.01.2012'!$AF$45</f>
        <v>548312.9</v>
      </c>
    </row>
    <row r="14" spans="1:15" x14ac:dyDescent="0.25">
      <c r="A14" s="64" t="s">
        <v>824</v>
      </c>
      <c r="B14" s="64"/>
      <c r="C14" s="509"/>
      <c r="D14" s="509"/>
      <c r="E14" s="509" t="s">
        <v>825</v>
      </c>
      <c r="F14" s="509"/>
      <c r="G14" s="509"/>
      <c r="M14" s="76">
        <f>M13-M11</f>
        <v>0</v>
      </c>
    </row>
    <row r="15" spans="1:15" x14ac:dyDescent="0.25">
      <c r="A15" s="68"/>
      <c r="B15" s="68"/>
      <c r="C15" s="68"/>
      <c r="E15" s="68"/>
      <c r="F15" s="68"/>
      <c r="G15" s="68"/>
      <c r="J15">
        <v>80</v>
      </c>
      <c r="K15" t="s">
        <v>4</v>
      </c>
    </row>
    <row r="16" spans="1:15" x14ac:dyDescent="0.25">
      <c r="A16" s="64" t="s">
        <v>99</v>
      </c>
      <c r="B16" s="64"/>
      <c r="C16" s="64"/>
      <c r="E16" s="64" t="s">
        <v>897</v>
      </c>
      <c r="F16" s="64"/>
      <c r="G16" s="64"/>
      <c r="J16">
        <v>20</v>
      </c>
      <c r="K16" t="s">
        <v>5</v>
      </c>
    </row>
    <row r="17" spans="3:14" x14ac:dyDescent="0.25">
      <c r="J17">
        <f>J15+J16</f>
        <v>100</v>
      </c>
      <c r="M17" s="138">
        <f>(176000-123093.28)</f>
        <v>52906.720000000001</v>
      </c>
    </row>
    <row r="18" spans="3:14" x14ac:dyDescent="0.25">
      <c r="C18" s="435">
        <f>'[3]смета от 11.01.2012'!$C$27</f>
        <v>648365</v>
      </c>
    </row>
    <row r="19" spans="3:14" x14ac:dyDescent="0.25">
      <c r="C19" s="435">
        <f>C18-C11</f>
        <v>-248359.5</v>
      </c>
      <c r="M19" s="142">
        <f>(47063.29/1.18/938.84)+285.39+N20</f>
        <v>351.52</v>
      </c>
      <c r="N19" s="142">
        <f>1628.89*13.63*1.18</f>
        <v>26198.09</v>
      </c>
    </row>
    <row r="20" spans="3:14" x14ac:dyDescent="0.25">
      <c r="N20" s="76">
        <f>N19/1.18/938.84</f>
        <v>23.65</v>
      </c>
    </row>
  </sheetData>
  <mergeCells count="6">
    <mergeCell ref="A3:I3"/>
    <mergeCell ref="L5:N5"/>
    <mergeCell ref="C5:H5"/>
    <mergeCell ref="D6:H6"/>
    <mergeCell ref="A5:A7"/>
    <mergeCell ref="B5:B7"/>
  </mergeCells>
  <phoneticPr fontId="17" type="noConversion"/>
  <pageMargins left="0" right="0" top="0.74803149606299213" bottom="0.74803149606299213" header="0.31496062992125984" footer="0.31496062992125984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C14"/>
    </sheetView>
  </sheetViews>
  <sheetFormatPr defaultRowHeight="15" x14ac:dyDescent="0.25"/>
  <cols>
    <col min="1" max="1" width="19.5703125" style="10" customWidth="1"/>
    <col min="2" max="2" width="12.28515625" style="10" customWidth="1"/>
    <col min="3" max="3" width="20.28515625" style="10" customWidth="1"/>
  </cols>
  <sheetData>
    <row r="1" spans="1:4" ht="65.25" customHeight="1" x14ac:dyDescent="0.25">
      <c r="A1" s="789" t="s">
        <v>48</v>
      </c>
      <c r="B1" s="795"/>
      <c r="C1" s="795"/>
    </row>
    <row r="3" spans="1:4" ht="60.75" customHeight="1" x14ac:dyDescent="0.25">
      <c r="A3" s="793" t="s">
        <v>730</v>
      </c>
      <c r="B3" s="791" t="s">
        <v>731</v>
      </c>
      <c r="C3" s="576" t="s">
        <v>751</v>
      </c>
    </row>
    <row r="4" spans="1:4" x14ac:dyDescent="0.25">
      <c r="A4" s="794"/>
      <c r="B4" s="792"/>
      <c r="C4" s="73" t="s">
        <v>668</v>
      </c>
    </row>
    <row r="5" spans="1:4" ht="14.25" customHeight="1" x14ac:dyDescent="0.25">
      <c r="A5" s="121" t="s">
        <v>248</v>
      </c>
      <c r="B5" s="714">
        <f>'290,стипендия недофинанс'!F7*'290,стипендия недофинанс'!G7*'290,стипендия недофинанс'!H7+'290,стипендия недофинанс'!F8*'290,стипендия недофинанс'!G8*'290,стипендия недофинанс'!H8+'290,стипендия недофинанс'!F9*'290,стипендия недофинанс'!G9*'290,стипендия недофинанс'!H9+'290,стипендия недофинанс'!F10*'290,стипендия недофинанс'!G10*'290,стипендия недофинанс'!H10+'290,стипендия недофинанс'!F11*'290,стипендия недофинанс'!G11*'290,стипендия недофинанс'!H11-25.8</f>
        <v>3044775</v>
      </c>
      <c r="C5" s="714">
        <v>3044775</v>
      </c>
    </row>
    <row r="6" spans="1:4" ht="25.5" customHeight="1" x14ac:dyDescent="0.25">
      <c r="A6" s="73" t="s">
        <v>828</v>
      </c>
      <c r="B6" s="715">
        <f>B5</f>
        <v>3044775</v>
      </c>
      <c r="C6" s="715">
        <f>C5</f>
        <v>3044775</v>
      </c>
    </row>
    <row r="10" spans="1:4" x14ac:dyDescent="0.25">
      <c r="A10" s="64" t="s">
        <v>824</v>
      </c>
      <c r="C10" s="711" t="s">
        <v>825</v>
      </c>
      <c r="D10" s="509"/>
    </row>
    <row r="11" spans="1:4" x14ac:dyDescent="0.25">
      <c r="A11" s="540"/>
      <c r="C11" s="550"/>
      <c r="D11" s="68"/>
    </row>
    <row r="12" spans="1:4" x14ac:dyDescent="0.25">
      <c r="A12" s="64" t="s">
        <v>99</v>
      </c>
      <c r="C12" s="712" t="s">
        <v>897</v>
      </c>
      <c r="D12" s="64"/>
    </row>
  </sheetData>
  <mergeCells count="3">
    <mergeCell ref="A1:C1"/>
    <mergeCell ref="A3:A4"/>
    <mergeCell ref="B3:B4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0"/>
  <sheetViews>
    <sheetView topLeftCell="A4" workbookViewId="0">
      <selection activeCell="A3" sqref="A3:I16"/>
    </sheetView>
  </sheetViews>
  <sheetFormatPr defaultRowHeight="15" x14ac:dyDescent="0.25"/>
  <cols>
    <col min="1" max="1" width="23.140625" style="3" customWidth="1"/>
    <col min="2" max="2" width="9.140625" style="3" customWidth="1"/>
    <col min="3" max="3" width="12.5703125" style="3" customWidth="1"/>
    <col min="4" max="4" width="9.42578125" style="3" customWidth="1"/>
    <col min="5" max="5" width="8.42578125" style="3" customWidth="1"/>
    <col min="6" max="7" width="8.28515625" style="3" customWidth="1"/>
    <col min="8" max="9" width="9.42578125" style="3" customWidth="1"/>
    <col min="10" max="10" width="10.42578125" bestFit="1" customWidth="1"/>
    <col min="11" max="11" width="9.42578125" bestFit="1" customWidth="1"/>
    <col min="12" max="12" width="11.5703125" customWidth="1"/>
    <col min="13" max="13" width="12.140625" customWidth="1"/>
    <col min="14" max="14" width="11" customWidth="1"/>
  </cols>
  <sheetData>
    <row r="3" spans="1:16" ht="37.5" customHeight="1" x14ac:dyDescent="0.25">
      <c r="A3" s="913" t="s">
        <v>624</v>
      </c>
      <c r="B3" s="913"/>
      <c r="C3" s="913"/>
      <c r="D3" s="913"/>
      <c r="E3" s="913"/>
      <c r="F3" s="913"/>
      <c r="G3" s="913"/>
      <c r="H3" s="913"/>
      <c r="I3" s="913"/>
    </row>
    <row r="4" spans="1:16" ht="15.95" customHeight="1" x14ac:dyDescent="0.25"/>
    <row r="5" spans="1:16" ht="42.75" customHeight="1" x14ac:dyDescent="0.25">
      <c r="A5" s="793" t="s">
        <v>826</v>
      </c>
      <c r="B5" s="793" t="s">
        <v>699</v>
      </c>
      <c r="C5" s="885" t="s">
        <v>898</v>
      </c>
      <c r="D5" s="886"/>
      <c r="E5" s="886"/>
      <c r="F5" s="886"/>
      <c r="G5" s="886"/>
      <c r="H5" s="887"/>
      <c r="I5" s="576" t="s">
        <v>662</v>
      </c>
      <c r="L5" s="914" t="s">
        <v>773</v>
      </c>
      <c r="M5" s="914"/>
      <c r="N5" s="914"/>
      <c r="O5" s="71"/>
      <c r="P5" s="71"/>
    </row>
    <row r="6" spans="1:16" ht="15.95" customHeight="1" x14ac:dyDescent="0.25">
      <c r="A6" s="803"/>
      <c r="B6" s="803"/>
      <c r="C6" s="90" t="s">
        <v>601</v>
      </c>
      <c r="D6" s="915" t="s">
        <v>602</v>
      </c>
      <c r="E6" s="916"/>
      <c r="F6" s="916"/>
      <c r="G6" s="916"/>
      <c r="H6" s="917"/>
      <c r="I6" s="90" t="s">
        <v>602</v>
      </c>
      <c r="L6" s="138">
        <v>12</v>
      </c>
      <c r="M6" s="138">
        <v>8</v>
      </c>
      <c r="N6" s="138">
        <v>11</v>
      </c>
      <c r="O6" s="165">
        <v>16</v>
      </c>
      <c r="P6" s="778">
        <v>24</v>
      </c>
    </row>
    <row r="7" spans="1:16" ht="15.95" customHeight="1" x14ac:dyDescent="0.25">
      <c r="A7" s="794"/>
      <c r="B7" s="794"/>
      <c r="C7" s="73"/>
      <c r="D7" s="73">
        <v>401102</v>
      </c>
      <c r="E7" s="73">
        <v>401103</v>
      </c>
      <c r="F7" s="73">
        <v>401202</v>
      </c>
      <c r="G7" s="73">
        <v>401203</v>
      </c>
      <c r="H7" s="73" t="s">
        <v>854</v>
      </c>
      <c r="I7" s="73"/>
      <c r="L7" s="138"/>
      <c r="M7" s="138"/>
      <c r="N7" s="138"/>
      <c r="O7" s="165"/>
      <c r="P7" s="71"/>
    </row>
    <row r="8" spans="1:16" ht="78" customHeight="1" x14ac:dyDescent="0.25">
      <c r="A8" s="121" t="s">
        <v>63</v>
      </c>
      <c r="B8" s="116">
        <f>C8+H8</f>
        <v>2209758.02</v>
      </c>
      <c r="C8" s="116">
        <f>L8+M8+N8+P8</f>
        <v>460193.56</v>
      </c>
      <c r="D8" s="116">
        <f>J8*90%</f>
        <v>1259686.4099999999</v>
      </c>
      <c r="E8" s="116">
        <f>J8*10%</f>
        <v>139965.16</v>
      </c>
      <c r="F8" s="116">
        <f>K8*90%</f>
        <v>314921.59999999998</v>
      </c>
      <c r="G8" s="116">
        <f>K8*10%</f>
        <v>34991.29</v>
      </c>
      <c r="H8" s="126">
        <f>'223 Б'!F6</f>
        <v>1749564.46</v>
      </c>
      <c r="I8" s="126">
        <f>2225419.23-H8</f>
        <v>475854.77</v>
      </c>
      <c r="J8" s="76">
        <f>H8/J17*J15</f>
        <v>1399651.57</v>
      </c>
      <c r="K8" s="76">
        <f>H8/J17*J16</f>
        <v>349912.89</v>
      </c>
      <c r="L8" s="142">
        <f>96180.8</f>
        <v>96180.800000000003</v>
      </c>
      <c r="M8" s="138">
        <f>(176000-123093.28)*1.19735*1.15*1.18</f>
        <v>85963.047637544005</v>
      </c>
      <c r="N8" s="138">
        <f>11702.55</f>
        <v>11702.55</v>
      </c>
      <c r="O8" s="71"/>
      <c r="P8" s="117">
        <v>266347.15999999997</v>
      </c>
    </row>
    <row r="9" spans="1:16" ht="65.25" customHeight="1" x14ac:dyDescent="0.25">
      <c r="A9" s="121" t="s">
        <v>623</v>
      </c>
      <c r="B9" s="116">
        <f>C9+H9</f>
        <v>2563330.5099999998</v>
      </c>
      <c r="C9" s="116">
        <f>L9+M9+N9</f>
        <v>524645.48</v>
      </c>
      <c r="D9" s="116">
        <f>J9*50%</f>
        <v>815474.01</v>
      </c>
      <c r="E9" s="116">
        <f>J9*50%</f>
        <v>815474.01</v>
      </c>
      <c r="F9" s="116">
        <f>K9*50%</f>
        <v>203868.51</v>
      </c>
      <c r="G9" s="116">
        <f>K9*50%</f>
        <v>203868.51</v>
      </c>
      <c r="H9" s="126">
        <f>'223 Б'!F7</f>
        <v>2038685.03</v>
      </c>
      <c r="I9" s="126">
        <f>2695089.8-H9</f>
        <v>656404.77</v>
      </c>
      <c r="J9" s="76">
        <f>H9/J17*J15</f>
        <v>1630948.02</v>
      </c>
      <c r="K9" s="76">
        <f>H9/J17*J16</f>
        <v>407737.01</v>
      </c>
      <c r="L9" s="142">
        <f>98774.12+13824.14</f>
        <v>112598.26</v>
      </c>
      <c r="M9" s="142">
        <f>285.39*938.84*1.18+1628.89*13.63*1.18+47063.29</f>
        <v>389425.33</v>
      </c>
      <c r="N9" s="138">
        <f>22621.89</f>
        <v>22621.89</v>
      </c>
      <c r="O9" s="71"/>
      <c r="P9" s="71"/>
    </row>
    <row r="10" spans="1:16" ht="65.25" customHeight="1" x14ac:dyDescent="0.25">
      <c r="A10" s="121" t="s">
        <v>65</v>
      </c>
      <c r="B10" s="116">
        <f>C10+H10</f>
        <v>442128.73</v>
      </c>
      <c r="C10" s="116">
        <f>L10+M10+N10+O11</f>
        <v>178232.62</v>
      </c>
      <c r="D10" s="116">
        <f>H10/J17*J15</f>
        <v>211116.89</v>
      </c>
      <c r="E10" s="116"/>
      <c r="F10" s="116">
        <f>H10/J17*J16</f>
        <v>52779.22</v>
      </c>
      <c r="G10" s="116"/>
      <c r="H10" s="126">
        <f>'223 Б'!F8</f>
        <v>263896.11</v>
      </c>
      <c r="I10" s="126">
        <f>323338.03-H10</f>
        <v>59441.919999999998</v>
      </c>
      <c r="L10" s="138">
        <f>40110.49+20772.78+20712.45</f>
        <v>81595.72</v>
      </c>
      <c r="M10" s="142">
        <f>1746.19*18.95*1.18+1746.19*9.81*1.18+1180.43*9.81*1.18</f>
        <v>72924.52</v>
      </c>
      <c r="N10" s="138">
        <f>2023.58+1047.98</f>
        <v>3071.56</v>
      </c>
      <c r="O10" s="71"/>
      <c r="P10" s="71"/>
    </row>
    <row r="11" spans="1:16" ht="26.25" customHeight="1" x14ac:dyDescent="0.25">
      <c r="A11" s="73" t="s">
        <v>828</v>
      </c>
      <c r="B11" s="74">
        <f t="shared" ref="B11:I11" si="0">B8+B9+B10</f>
        <v>5215217.26</v>
      </c>
      <c r="C11" s="74">
        <f t="shared" si="0"/>
        <v>1163071.6599999999</v>
      </c>
      <c r="D11" s="74">
        <f t="shared" si="0"/>
        <v>2286277.31</v>
      </c>
      <c r="E11" s="74">
        <f t="shared" si="0"/>
        <v>955439.17</v>
      </c>
      <c r="F11" s="74">
        <f t="shared" si="0"/>
        <v>571569.32999999996</v>
      </c>
      <c r="G11" s="74">
        <f t="shared" si="0"/>
        <v>238859.8</v>
      </c>
      <c r="H11" s="74">
        <f t="shared" si="0"/>
        <v>4052145.6</v>
      </c>
      <c r="I11" s="74">
        <f t="shared" si="0"/>
        <v>1191701.46</v>
      </c>
      <c r="L11" s="142">
        <f>L8+L9+L10</f>
        <v>290374.78000000003</v>
      </c>
      <c r="M11" s="142">
        <f>M8+M9+M10</f>
        <v>548312.9</v>
      </c>
      <c r="N11" s="142">
        <f>N8+N9+N10</f>
        <v>37396</v>
      </c>
      <c r="O11" s="78">
        <f>'[2]смета от 11.01.2012'!$H$45</f>
        <v>20640.82</v>
      </c>
      <c r="P11" s="71"/>
    </row>
    <row r="13" spans="1:16" x14ac:dyDescent="0.25">
      <c r="C13" s="615"/>
      <c r="D13" s="615"/>
      <c r="E13" s="615"/>
      <c r="F13" s="615"/>
      <c r="G13" s="615"/>
      <c r="L13" s="76">
        <f>'[2]смета от 11.01.2012'!$AB$45</f>
        <v>290374.78000000003</v>
      </c>
      <c r="M13" s="76">
        <f>'[2]смета от 11.01.2012'!$AF$45</f>
        <v>548312.9</v>
      </c>
    </row>
    <row r="14" spans="1:16" x14ac:dyDescent="0.25">
      <c r="A14" s="64" t="s">
        <v>824</v>
      </c>
      <c r="B14" s="64"/>
      <c r="C14" s="509"/>
      <c r="D14" s="509"/>
      <c r="E14" s="509" t="s">
        <v>825</v>
      </c>
      <c r="F14" s="509"/>
      <c r="G14" s="509"/>
      <c r="M14" s="76">
        <f>M13-M11</f>
        <v>0</v>
      </c>
    </row>
    <row r="15" spans="1:16" x14ac:dyDescent="0.25">
      <c r="A15" s="68"/>
      <c r="B15" s="68"/>
      <c r="C15" s="183"/>
      <c r="E15" s="68"/>
      <c r="F15" s="68"/>
      <c r="G15" s="68"/>
      <c r="J15">
        <v>80</v>
      </c>
      <c r="K15" t="s">
        <v>4</v>
      </c>
    </row>
    <row r="16" spans="1:16" x14ac:dyDescent="0.25">
      <c r="A16" s="64" t="s">
        <v>99</v>
      </c>
      <c r="B16" s="64"/>
      <c r="C16" s="64"/>
      <c r="E16" s="64" t="s">
        <v>897</v>
      </c>
      <c r="F16" s="64"/>
      <c r="G16" s="64"/>
      <c r="J16">
        <v>20</v>
      </c>
      <c r="K16" t="s">
        <v>5</v>
      </c>
    </row>
    <row r="17" spans="3:14" x14ac:dyDescent="0.25">
      <c r="J17">
        <f>J15+J16</f>
        <v>100</v>
      </c>
      <c r="M17" s="138">
        <f>(176000-123093.28)</f>
        <v>52906.720000000001</v>
      </c>
    </row>
    <row r="18" spans="3:14" x14ac:dyDescent="0.25">
      <c r="C18" s="688"/>
    </row>
    <row r="19" spans="3:14" x14ac:dyDescent="0.25">
      <c r="C19" s="688"/>
      <c r="F19" s="616"/>
      <c r="M19" s="142">
        <f>(47063.29/1.18/938.84)+285.39+N20</f>
        <v>351.52</v>
      </c>
      <c r="N19" s="142">
        <f>1628.89*13.63*1.18</f>
        <v>26198.09</v>
      </c>
    </row>
    <row r="20" spans="3:14" x14ac:dyDescent="0.25">
      <c r="N20" s="76">
        <f>N19/1.18/938.84</f>
        <v>23.65</v>
      </c>
    </row>
  </sheetData>
  <mergeCells count="6">
    <mergeCell ref="A3:I3"/>
    <mergeCell ref="L5:N5"/>
    <mergeCell ref="C5:H5"/>
    <mergeCell ref="D6:H6"/>
    <mergeCell ref="A5:A7"/>
    <mergeCell ref="B5:B7"/>
  </mergeCells>
  <phoneticPr fontId="17" type="noConversion"/>
  <pageMargins left="0" right="0" top="0.74803149606299213" bottom="0.74803149606299213" header="0.31496062992125984" footer="0.31496062992125984"/>
  <pageSetup paperSize="9" scale="95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5"/>
  <sheetViews>
    <sheetView topLeftCell="A84" workbookViewId="0">
      <selection sqref="A1:G1"/>
    </sheetView>
  </sheetViews>
  <sheetFormatPr defaultRowHeight="15" x14ac:dyDescent="0.25"/>
  <cols>
    <col min="1" max="1" width="40.85546875" style="10" customWidth="1"/>
    <col min="2" max="2" width="9.42578125" style="10" customWidth="1"/>
    <col min="3" max="3" width="9.5703125" style="540" customWidth="1"/>
    <col min="4" max="4" width="9.140625" style="540" customWidth="1"/>
    <col min="5" max="6" width="8.42578125" style="540" customWidth="1"/>
    <col min="7" max="7" width="9" style="540" customWidth="1"/>
    <col min="9" max="9" width="15.28515625" customWidth="1"/>
    <col min="10" max="10" width="12.5703125" customWidth="1"/>
    <col min="11" max="11" width="10.42578125" bestFit="1" customWidth="1"/>
    <col min="12" max="12" width="7" customWidth="1"/>
    <col min="13" max="13" width="18.42578125" customWidth="1"/>
  </cols>
  <sheetData>
    <row r="1" spans="1:28" ht="29.25" customHeight="1" x14ac:dyDescent="0.25">
      <c r="A1" s="789" t="s">
        <v>487</v>
      </c>
      <c r="B1" s="789"/>
      <c r="C1" s="789"/>
      <c r="D1" s="789"/>
      <c r="E1" s="789"/>
      <c r="F1" s="789"/>
      <c r="G1" s="789"/>
      <c r="L1" t="s">
        <v>874</v>
      </c>
    </row>
    <row r="2" spans="1:28" x14ac:dyDescent="0.25">
      <c r="B2" s="72"/>
      <c r="C2" s="172"/>
      <c r="D2" s="172"/>
      <c r="E2" s="172"/>
      <c r="L2">
        <v>300</v>
      </c>
      <c r="M2" t="s">
        <v>872</v>
      </c>
      <c r="P2" t="s">
        <v>829</v>
      </c>
      <c r="Q2" t="s">
        <v>830</v>
      </c>
      <c r="R2" t="s">
        <v>831</v>
      </c>
      <c r="S2" t="s">
        <v>832</v>
      </c>
      <c r="T2" t="s">
        <v>833</v>
      </c>
      <c r="U2" t="s">
        <v>834</v>
      </c>
      <c r="V2" t="s">
        <v>835</v>
      </c>
      <c r="W2" t="s">
        <v>849</v>
      </c>
      <c r="X2" t="s">
        <v>850</v>
      </c>
      <c r="Y2" t="s">
        <v>851</v>
      </c>
      <c r="Z2" t="s">
        <v>852</v>
      </c>
      <c r="AA2" t="s">
        <v>853</v>
      </c>
    </row>
    <row r="3" spans="1:28" x14ac:dyDescent="0.25">
      <c r="L3">
        <f>10</f>
        <v>10</v>
      </c>
      <c r="M3" t="s">
        <v>873</v>
      </c>
      <c r="P3">
        <v>16</v>
      </c>
      <c r="Q3">
        <v>20</v>
      </c>
      <c r="R3">
        <v>21</v>
      </c>
      <c r="S3">
        <v>21</v>
      </c>
      <c r="T3">
        <v>21</v>
      </c>
      <c r="U3">
        <v>20</v>
      </c>
      <c r="V3">
        <v>22</v>
      </c>
      <c r="W3">
        <v>23</v>
      </c>
      <c r="X3">
        <v>20</v>
      </c>
      <c r="Y3">
        <v>23</v>
      </c>
      <c r="Z3">
        <v>21</v>
      </c>
      <c r="AA3">
        <v>21</v>
      </c>
    </row>
    <row r="4" spans="1:28" ht="39" customHeight="1" x14ac:dyDescent="0.25">
      <c r="A4" s="793" t="s">
        <v>826</v>
      </c>
      <c r="B4" s="793" t="s">
        <v>827</v>
      </c>
      <c r="C4" s="922" t="s">
        <v>898</v>
      </c>
      <c r="D4" s="923"/>
      <c r="E4" s="923"/>
      <c r="F4" s="924"/>
      <c r="G4" s="91" t="s">
        <v>681</v>
      </c>
      <c r="I4" s="96"/>
      <c r="J4" s="96"/>
      <c r="K4" s="97">
        <f>L4*(L2+L3)</f>
        <v>26660</v>
      </c>
      <c r="L4" s="96">
        <f>AB4</f>
        <v>86</v>
      </c>
      <c r="M4" s="96" t="s">
        <v>875</v>
      </c>
      <c r="P4">
        <v>6</v>
      </c>
      <c r="Q4">
        <v>8</v>
      </c>
      <c r="R4">
        <v>8</v>
      </c>
      <c r="S4">
        <v>8</v>
      </c>
      <c r="T4">
        <v>8</v>
      </c>
      <c r="U4">
        <v>8</v>
      </c>
      <c r="V4">
        <v>4</v>
      </c>
      <c r="W4">
        <v>4</v>
      </c>
      <c r="X4">
        <v>8</v>
      </c>
      <c r="Y4">
        <v>8</v>
      </c>
      <c r="Z4">
        <v>8</v>
      </c>
      <c r="AA4">
        <v>8</v>
      </c>
      <c r="AB4">
        <f>P4+Q4+R4+S4+T4+U4+V4+W4+X4+Y4+Z4+AA4</f>
        <v>86</v>
      </c>
    </row>
    <row r="5" spans="1:28" ht="13.5" customHeight="1" x14ac:dyDescent="0.25">
      <c r="A5" s="794"/>
      <c r="B5" s="794"/>
      <c r="C5" s="590" t="s">
        <v>877</v>
      </c>
      <c r="D5" s="903" t="s">
        <v>878</v>
      </c>
      <c r="E5" s="904"/>
      <c r="F5" s="905"/>
      <c r="G5" s="93"/>
      <c r="I5" s="96" t="s">
        <v>868</v>
      </c>
      <c r="J5" s="96" t="s">
        <v>869</v>
      </c>
      <c r="K5" s="96" t="s">
        <v>870</v>
      </c>
      <c r="L5" s="98" t="s">
        <v>876</v>
      </c>
      <c r="M5" s="98" t="s">
        <v>871</v>
      </c>
    </row>
    <row r="6" spans="1:28" ht="15" customHeight="1" x14ac:dyDescent="0.25">
      <c r="A6" s="577"/>
      <c r="B6" s="577"/>
      <c r="C6" s="93"/>
      <c r="D6" s="519">
        <v>401102</v>
      </c>
      <c r="E6" s="519">
        <v>401202</v>
      </c>
      <c r="F6" s="519" t="s">
        <v>854</v>
      </c>
      <c r="G6" s="93"/>
      <c r="I6" s="96"/>
      <c r="J6" s="96"/>
      <c r="K6" s="96"/>
      <c r="L6" s="98"/>
      <c r="M6" s="98"/>
    </row>
    <row r="7" spans="1:28" s="88" customFormat="1" ht="27.2" customHeight="1" x14ac:dyDescent="0.25">
      <c r="A7" s="659" t="s">
        <v>635</v>
      </c>
      <c r="B7" s="156">
        <f t="shared" ref="B7:B19" si="0">C7+F7</f>
        <v>54176.160000000003</v>
      </c>
      <c r="C7" s="84">
        <f>C8</f>
        <v>17878.13</v>
      </c>
      <c r="D7" s="523">
        <f>D8</f>
        <v>29038.42</v>
      </c>
      <c r="E7" s="523">
        <f>E8</f>
        <v>7259.61</v>
      </c>
      <c r="F7" s="523">
        <f>F8</f>
        <v>36298.03</v>
      </c>
      <c r="G7" s="523"/>
      <c r="I7" s="99"/>
      <c r="J7" s="99">
        <v>11</v>
      </c>
      <c r="K7" s="100">
        <f>3315000</f>
        <v>3315000</v>
      </c>
      <c r="L7" s="100">
        <f>K7/K14*100</f>
        <v>96.41</v>
      </c>
      <c r="M7" s="100">
        <f>M14*L7%</f>
        <v>25702.91</v>
      </c>
    </row>
    <row r="8" spans="1:28" s="88" customFormat="1" ht="13.15" customHeight="1" x14ac:dyDescent="0.25">
      <c r="A8" s="516" t="s">
        <v>880</v>
      </c>
      <c r="B8" s="532">
        <f t="shared" si="0"/>
        <v>54176.160000000003</v>
      </c>
      <c r="C8" s="513">
        <f>54176.16*33%</f>
        <v>17878.13</v>
      </c>
      <c r="D8" s="513">
        <f>F8/I19*I17</f>
        <v>29038.42</v>
      </c>
      <c r="E8" s="513">
        <f>F8/I19*I18</f>
        <v>7259.61</v>
      </c>
      <c r="F8" s="513">
        <f>54176.16*67%</f>
        <v>36298.03</v>
      </c>
      <c r="G8" s="513"/>
      <c r="I8" s="99"/>
      <c r="J8" s="99">
        <v>14</v>
      </c>
      <c r="K8" s="100">
        <f>'221 ОБЩАЯ'!I11</f>
        <v>116585.8</v>
      </c>
      <c r="L8" s="100">
        <f>K8/K14*100</f>
        <v>3.39</v>
      </c>
      <c r="M8" s="100">
        <f>M14*L8%</f>
        <v>903.77</v>
      </c>
    </row>
    <row r="9" spans="1:28" s="88" customFormat="1" ht="39.75" customHeight="1" x14ac:dyDescent="0.25">
      <c r="A9" s="659" t="s">
        <v>634</v>
      </c>
      <c r="B9" s="156">
        <f t="shared" si="0"/>
        <v>52040</v>
      </c>
      <c r="C9" s="84">
        <f>C14</f>
        <v>22655.25</v>
      </c>
      <c r="D9" s="84">
        <f>D14</f>
        <v>23507.8</v>
      </c>
      <c r="E9" s="84">
        <f>E14</f>
        <v>5876.95</v>
      </c>
      <c r="F9" s="84">
        <f>F14</f>
        <v>29384.75</v>
      </c>
      <c r="G9" s="84"/>
      <c r="I9" s="99"/>
      <c r="J9" s="99">
        <v>17</v>
      </c>
      <c r="K9" s="100">
        <f>'221 ОБЩАЯ'!I12</f>
        <v>7000</v>
      </c>
      <c r="L9" s="100">
        <f>K9/K14*100</f>
        <v>0.2</v>
      </c>
      <c r="M9" s="100">
        <f>M14*L9%</f>
        <v>53.32</v>
      </c>
    </row>
    <row r="10" spans="1:28" s="88" customFormat="1" ht="15" customHeight="1" x14ac:dyDescent="0.25">
      <c r="A10" s="541" t="s">
        <v>839</v>
      </c>
      <c r="B10" s="532">
        <f t="shared" si="0"/>
        <v>15585</v>
      </c>
      <c r="C10" s="513">
        <v>15585</v>
      </c>
      <c r="D10" s="513"/>
      <c r="E10" s="513"/>
      <c r="F10" s="513"/>
      <c r="G10" s="84"/>
      <c r="I10" s="99"/>
      <c r="J10" s="99"/>
      <c r="K10" s="100"/>
      <c r="L10" s="100"/>
      <c r="M10" s="100"/>
    </row>
    <row r="11" spans="1:28" s="88" customFormat="1" ht="15.75" customHeight="1" x14ac:dyDescent="0.25">
      <c r="A11" s="541" t="s">
        <v>838</v>
      </c>
      <c r="B11" s="532">
        <f t="shared" si="0"/>
        <v>6000</v>
      </c>
      <c r="C11" s="513">
        <f>6000*33%</f>
        <v>1980</v>
      </c>
      <c r="D11" s="513">
        <f>F11/I19*I17</f>
        <v>3216</v>
      </c>
      <c r="E11" s="513">
        <f>F11/I19*I18</f>
        <v>804</v>
      </c>
      <c r="F11" s="513">
        <f>6000*67%</f>
        <v>4020</v>
      </c>
      <c r="G11" s="84"/>
      <c r="I11" s="99"/>
      <c r="J11" s="99"/>
      <c r="K11" s="100"/>
      <c r="L11" s="100"/>
      <c r="M11" s="100"/>
    </row>
    <row r="12" spans="1:28" s="88" customFormat="1" ht="16.350000000000001" customHeight="1" x14ac:dyDescent="0.25">
      <c r="A12" s="541" t="s">
        <v>841</v>
      </c>
      <c r="B12" s="532">
        <f t="shared" si="0"/>
        <v>15030</v>
      </c>
      <c r="C12" s="513"/>
      <c r="D12" s="513">
        <f>F12/I19*I17</f>
        <v>12024</v>
      </c>
      <c r="E12" s="513">
        <f>F12/I19*I18</f>
        <v>3006</v>
      </c>
      <c r="F12" s="513">
        <f>15030</f>
        <v>15030</v>
      </c>
      <c r="G12" s="84"/>
      <c r="I12" s="99"/>
      <c r="J12" s="99"/>
      <c r="K12" s="100"/>
      <c r="L12" s="100"/>
      <c r="M12" s="100"/>
    </row>
    <row r="13" spans="1:28" s="88" customFormat="1" ht="14.25" customHeight="1" x14ac:dyDescent="0.25">
      <c r="A13" s="541" t="s">
        <v>840</v>
      </c>
      <c r="B13" s="532">
        <f t="shared" si="0"/>
        <v>15425</v>
      </c>
      <c r="C13" s="513">
        <f>(5*325+2*5*1380)*33%</f>
        <v>5090.25</v>
      </c>
      <c r="D13" s="513">
        <f>F13/I19*I17</f>
        <v>8267.7999999999993</v>
      </c>
      <c r="E13" s="513">
        <f>F13/I19*I18</f>
        <v>2066.9499999999998</v>
      </c>
      <c r="F13" s="513">
        <f>(5*325+2*5*1380)*67%</f>
        <v>10334.75</v>
      </c>
      <c r="G13" s="84"/>
      <c r="H13" s="128"/>
      <c r="I13" s="99"/>
      <c r="J13" s="99"/>
      <c r="K13" s="100"/>
      <c r="L13" s="100"/>
      <c r="M13" s="100"/>
    </row>
    <row r="14" spans="1:28" s="88" customFormat="1" ht="16.7" customHeight="1" x14ac:dyDescent="0.25">
      <c r="A14" s="516" t="s">
        <v>880</v>
      </c>
      <c r="B14" s="529">
        <f t="shared" si="0"/>
        <v>52040</v>
      </c>
      <c r="C14" s="530">
        <f>C10+C11+C13</f>
        <v>22655.25</v>
      </c>
      <c r="D14" s="530">
        <f>D10+D11+D12+D13</f>
        <v>23507.8</v>
      </c>
      <c r="E14" s="530">
        <f>E10+E11+E12+E13</f>
        <v>5876.95</v>
      </c>
      <c r="F14" s="530">
        <f>F10+F11+F12+F13</f>
        <v>29384.75</v>
      </c>
      <c r="G14" s="114"/>
      <c r="I14" s="99"/>
      <c r="J14" s="99"/>
      <c r="K14" s="100">
        <f>K7+K8+K9</f>
        <v>3438585.8</v>
      </c>
      <c r="L14" s="100"/>
      <c r="M14" s="100">
        <f>K4</f>
        <v>26660</v>
      </c>
    </row>
    <row r="15" spans="1:28" s="88" customFormat="1" ht="26.25" customHeight="1" x14ac:dyDescent="0.25">
      <c r="A15" s="156" t="s">
        <v>488</v>
      </c>
      <c r="B15" s="528">
        <f t="shared" si="0"/>
        <v>0</v>
      </c>
      <c r="C15" s="84">
        <f>C16</f>
        <v>0</v>
      </c>
      <c r="D15" s="84"/>
      <c r="E15" s="84"/>
      <c r="F15" s="84">
        <f>F16+F17+F19</f>
        <v>0</v>
      </c>
      <c r="G15" s="84">
        <f>G16+G17+G19</f>
        <v>70000</v>
      </c>
    </row>
    <row r="16" spans="1:28" s="88" customFormat="1" ht="15" customHeight="1" x14ac:dyDescent="0.25">
      <c r="A16" s="516" t="s">
        <v>880</v>
      </c>
      <c r="B16" s="527">
        <f t="shared" si="0"/>
        <v>0</v>
      </c>
      <c r="C16" s="114">
        <v>0</v>
      </c>
      <c r="D16" s="114"/>
      <c r="E16" s="114"/>
      <c r="F16" s="114">
        <v>0</v>
      </c>
      <c r="G16" s="114">
        <v>70000</v>
      </c>
      <c r="I16" s="128"/>
    </row>
    <row r="17" spans="1:13" s="88" customFormat="1" ht="15.75" customHeight="1" x14ac:dyDescent="0.25">
      <c r="A17" s="660" t="s">
        <v>720</v>
      </c>
      <c r="B17" s="116">
        <f t="shared" si="0"/>
        <v>17000</v>
      </c>
      <c r="C17" s="119">
        <f>C18</f>
        <v>17000</v>
      </c>
      <c r="D17" s="119"/>
      <c r="E17" s="119"/>
      <c r="F17" s="119">
        <f>F18</f>
        <v>0</v>
      </c>
      <c r="G17" s="114"/>
      <c r="I17">
        <v>80</v>
      </c>
      <c r="J17" t="s">
        <v>4</v>
      </c>
    </row>
    <row r="18" spans="1:13" s="88" customFormat="1" ht="15" customHeight="1" x14ac:dyDescent="0.25">
      <c r="A18" s="516" t="s">
        <v>880</v>
      </c>
      <c r="B18" s="529">
        <f t="shared" si="0"/>
        <v>17000</v>
      </c>
      <c r="C18" s="530">
        <v>17000</v>
      </c>
      <c r="D18" s="530"/>
      <c r="E18" s="530"/>
      <c r="F18" s="530">
        <v>0</v>
      </c>
      <c r="G18" s="530"/>
      <c r="I18">
        <v>20</v>
      </c>
      <c r="J18" t="s">
        <v>5</v>
      </c>
    </row>
    <row r="19" spans="1:13" s="88" customFormat="1" ht="15" customHeight="1" x14ac:dyDescent="0.25">
      <c r="A19" s="660" t="s">
        <v>570</v>
      </c>
      <c r="B19" s="116">
        <f t="shared" si="0"/>
        <v>8117.11</v>
      </c>
      <c r="C19" s="119">
        <v>8117.11</v>
      </c>
      <c r="D19" s="119"/>
      <c r="E19" s="119"/>
      <c r="F19" s="84">
        <v>0</v>
      </c>
      <c r="G19" s="531"/>
      <c r="I19">
        <f>I17+I18</f>
        <v>100</v>
      </c>
      <c r="J19"/>
    </row>
    <row r="20" spans="1:13" s="88" customFormat="1" ht="41.45" customHeight="1" x14ac:dyDescent="0.25">
      <c r="A20" s="659" t="s">
        <v>700</v>
      </c>
      <c r="B20" s="116">
        <f>C20+F20</f>
        <v>163000</v>
      </c>
      <c r="C20" s="84">
        <f>C21</f>
        <v>163000</v>
      </c>
      <c r="D20" s="84"/>
      <c r="E20" s="84"/>
      <c r="F20" s="84">
        <f>F21</f>
        <v>0</v>
      </c>
      <c r="G20" s="84"/>
      <c r="H20" s="128">
        <f>7300*67%</f>
        <v>4891</v>
      </c>
      <c r="I20" s="128">
        <f>H20*I17%</f>
        <v>3912.8</v>
      </c>
      <c r="J20" s="128">
        <f>H20*I18%</f>
        <v>978.2</v>
      </c>
    </row>
    <row r="21" spans="1:13" s="88" customFormat="1" ht="13.15" customHeight="1" x14ac:dyDescent="0.25">
      <c r="A21" s="516" t="s">
        <v>880</v>
      </c>
      <c r="B21" s="518">
        <f>C21+F21+G21</f>
        <v>163000</v>
      </c>
      <c r="C21" s="542">
        <f>163000</f>
        <v>163000</v>
      </c>
      <c r="D21" s="542"/>
      <c r="E21" s="542"/>
      <c r="F21" s="542">
        <v>0</v>
      </c>
      <c r="G21" s="542"/>
      <c r="H21" s="128">
        <f>7300*33%</f>
        <v>2409</v>
      </c>
      <c r="I21" s="128"/>
    </row>
    <row r="22" spans="1:13" s="88" customFormat="1" ht="13.15" customHeight="1" x14ac:dyDescent="0.25">
      <c r="A22" s="416" t="s">
        <v>633</v>
      </c>
      <c r="B22" s="116">
        <f t="shared" ref="B22:B29" si="1">C22+F22</f>
        <v>19854.099999999999</v>
      </c>
      <c r="C22" s="84">
        <f>C23</f>
        <v>19854.099999999999</v>
      </c>
      <c r="D22" s="84"/>
      <c r="E22" s="84"/>
      <c r="F22" s="84">
        <v>0</v>
      </c>
      <c r="G22" s="543"/>
    </row>
    <row r="23" spans="1:13" s="88" customFormat="1" ht="15.75" customHeight="1" x14ac:dyDescent="0.25">
      <c r="A23" s="516" t="s">
        <v>701</v>
      </c>
      <c r="B23" s="529">
        <f t="shared" si="1"/>
        <v>19854.099999999999</v>
      </c>
      <c r="C23" s="542">
        <v>19854.099999999999</v>
      </c>
      <c r="D23" s="542"/>
      <c r="E23" s="542"/>
      <c r="F23" s="542">
        <v>0</v>
      </c>
      <c r="G23" s="542"/>
      <c r="I23" s="128"/>
    </row>
    <row r="24" spans="1:13" s="88" customFormat="1" ht="39" customHeight="1" x14ac:dyDescent="0.25">
      <c r="A24" s="83" t="s">
        <v>632</v>
      </c>
      <c r="B24" s="116">
        <f t="shared" si="1"/>
        <v>7000</v>
      </c>
      <c r="C24" s="84">
        <f>C25</f>
        <v>7000</v>
      </c>
      <c r="D24" s="84"/>
      <c r="E24" s="84"/>
      <c r="F24" s="84">
        <f>F25</f>
        <v>0</v>
      </c>
      <c r="G24" s="84"/>
    </row>
    <row r="25" spans="1:13" s="88" customFormat="1" ht="13.15" customHeight="1" x14ac:dyDescent="0.25">
      <c r="A25" s="516" t="s">
        <v>880</v>
      </c>
      <c r="B25" s="518">
        <f t="shared" si="1"/>
        <v>7000</v>
      </c>
      <c r="C25" s="513">
        <v>7000</v>
      </c>
      <c r="D25" s="513"/>
      <c r="E25" s="513"/>
      <c r="F25" s="513">
        <v>0</v>
      </c>
      <c r="G25" s="513"/>
    </row>
    <row r="26" spans="1:13" ht="26.25" x14ac:dyDescent="0.25">
      <c r="A26" s="416" t="s">
        <v>631</v>
      </c>
      <c r="B26" s="116">
        <f t="shared" si="1"/>
        <v>134750</v>
      </c>
      <c r="C26" s="84">
        <f>C27+C28</f>
        <v>134750</v>
      </c>
      <c r="D26" s="84"/>
      <c r="E26" s="84"/>
      <c r="F26" s="84">
        <v>0</v>
      </c>
      <c r="G26" s="544"/>
    </row>
    <row r="27" spans="1:13" x14ac:dyDescent="0.25">
      <c r="A27" s="516" t="s">
        <v>880</v>
      </c>
      <c r="B27" s="529">
        <f t="shared" si="1"/>
        <v>69299.990000000005</v>
      </c>
      <c r="C27" s="542">
        <v>69299.990000000005</v>
      </c>
      <c r="D27" s="542"/>
      <c r="E27" s="542"/>
      <c r="F27" s="545"/>
      <c r="G27" s="545"/>
    </row>
    <row r="28" spans="1:13" x14ac:dyDescent="0.25">
      <c r="A28" s="516" t="s">
        <v>889</v>
      </c>
      <c r="B28" s="529">
        <f t="shared" si="1"/>
        <v>65450.01</v>
      </c>
      <c r="C28" s="546">
        <v>65450.01</v>
      </c>
      <c r="D28" s="546"/>
      <c r="E28" s="546"/>
      <c r="F28" s="545"/>
      <c r="G28" s="545"/>
      <c r="H28" s="921" t="s">
        <v>857</v>
      </c>
      <c r="I28" s="921"/>
      <c r="J28" s="921"/>
      <c r="K28" s="921"/>
    </row>
    <row r="29" spans="1:13" ht="26.45" customHeight="1" x14ac:dyDescent="0.25">
      <c r="A29" s="659" t="s">
        <v>755</v>
      </c>
      <c r="B29" s="116">
        <f t="shared" si="1"/>
        <v>50000</v>
      </c>
      <c r="C29" s="84">
        <f>C30</f>
        <v>50000</v>
      </c>
      <c r="D29" s="84"/>
      <c r="E29" s="84"/>
      <c r="F29" s="84">
        <f>F30</f>
        <v>0</v>
      </c>
      <c r="G29" s="84"/>
      <c r="H29" s="918" t="s">
        <v>857</v>
      </c>
      <c r="I29" s="919"/>
      <c r="J29" s="919"/>
      <c r="K29" s="919"/>
      <c r="L29" s="919"/>
      <c r="M29" s="920" t="s">
        <v>859</v>
      </c>
    </row>
    <row r="30" spans="1:13" ht="18" customHeight="1" x14ac:dyDescent="0.25">
      <c r="A30" s="516" t="s">
        <v>880</v>
      </c>
      <c r="B30" s="518">
        <f t="shared" ref="B30:B46" si="2">C30+F30</f>
        <v>50000</v>
      </c>
      <c r="C30" s="542">
        <f>50000</f>
        <v>50000</v>
      </c>
      <c r="D30" s="542"/>
      <c r="E30" s="542"/>
      <c r="F30" s="542"/>
      <c r="G30" s="542"/>
      <c r="H30" s="503" t="s">
        <v>671</v>
      </c>
      <c r="I30" s="101" t="s">
        <v>856</v>
      </c>
      <c r="J30" s="101"/>
      <c r="K30" s="101"/>
      <c r="L30" s="71"/>
      <c r="M30" s="920"/>
    </row>
    <row r="31" spans="1:13" x14ac:dyDescent="0.25">
      <c r="A31" s="658" t="s">
        <v>702</v>
      </c>
      <c r="B31" s="116">
        <f t="shared" si="2"/>
        <v>8000</v>
      </c>
      <c r="C31" s="547">
        <f>C32</f>
        <v>8000</v>
      </c>
      <c r="D31" s="547"/>
      <c r="E31" s="547"/>
      <c r="F31" s="84">
        <v>0</v>
      </c>
      <c r="G31" s="525"/>
      <c r="H31" s="503" t="s">
        <v>855</v>
      </c>
      <c r="I31" s="101">
        <v>11</v>
      </c>
      <c r="J31" s="101">
        <v>2</v>
      </c>
      <c r="K31" s="101" t="s">
        <v>854</v>
      </c>
      <c r="L31" s="105" t="s">
        <v>858</v>
      </c>
      <c r="M31" s="71"/>
    </row>
    <row r="32" spans="1:13" x14ac:dyDescent="0.25">
      <c r="A32" s="516" t="s">
        <v>880</v>
      </c>
      <c r="B32" s="518">
        <f t="shared" si="2"/>
        <v>8000</v>
      </c>
      <c r="C32" s="542">
        <v>8000</v>
      </c>
      <c r="D32" s="542"/>
      <c r="E32" s="542"/>
      <c r="F32" s="525"/>
      <c r="G32" s="525"/>
      <c r="H32" s="503">
        <v>10</v>
      </c>
      <c r="I32" s="101"/>
      <c r="J32" s="101">
        <v>669.98</v>
      </c>
      <c r="K32" s="101">
        <v>669.98</v>
      </c>
      <c r="L32" s="78">
        <f>K32/$K$45*100</f>
        <v>2.06</v>
      </c>
      <c r="M32" s="85">
        <f>$M$45*L32%</f>
        <v>549.20000000000005</v>
      </c>
    </row>
    <row r="33" spans="1:13" x14ac:dyDescent="0.25">
      <c r="A33" s="658" t="s">
        <v>703</v>
      </c>
      <c r="B33" s="116">
        <f t="shared" si="2"/>
        <v>10637.5</v>
      </c>
      <c r="C33" s="547">
        <f>C34</f>
        <v>10637.5</v>
      </c>
      <c r="D33" s="547"/>
      <c r="E33" s="547"/>
      <c r="F33" s="84">
        <v>0</v>
      </c>
      <c r="G33" s="525"/>
      <c r="H33" s="503">
        <v>11</v>
      </c>
      <c r="I33" s="101"/>
      <c r="J33" s="102">
        <v>21589.919999999998</v>
      </c>
      <c r="K33" s="102">
        <v>21589.919999999998</v>
      </c>
      <c r="L33" s="78">
        <f t="shared" ref="L33:L43" si="3">K33/$K$45*100</f>
        <v>66.290000000000006</v>
      </c>
      <c r="M33" s="85">
        <f t="shared" ref="M33:M43" si="4">$M$45*L33%</f>
        <v>17672.91</v>
      </c>
    </row>
    <row r="34" spans="1:13" x14ac:dyDescent="0.25">
      <c r="A34" s="516" t="s">
        <v>880</v>
      </c>
      <c r="B34" s="518">
        <f t="shared" si="2"/>
        <v>10637.5</v>
      </c>
      <c r="C34" s="542">
        <v>10637.5</v>
      </c>
      <c r="D34" s="542"/>
      <c r="E34" s="542"/>
      <c r="F34" s="525"/>
      <c r="G34" s="525"/>
      <c r="H34" s="503">
        <v>7</v>
      </c>
      <c r="I34" s="101"/>
      <c r="J34" s="101">
        <v>1416.69</v>
      </c>
      <c r="K34" s="101">
        <v>1416.69</v>
      </c>
      <c r="L34" s="78">
        <f>K34/$K$45*100-0.01</f>
        <v>4.34</v>
      </c>
      <c r="M34" s="85">
        <f t="shared" si="4"/>
        <v>1157.04</v>
      </c>
    </row>
    <row r="35" spans="1:13" x14ac:dyDescent="0.25">
      <c r="A35" s="658" t="s">
        <v>704</v>
      </c>
      <c r="B35" s="116">
        <f t="shared" si="2"/>
        <v>2000</v>
      </c>
      <c r="C35" s="84">
        <f>C36</f>
        <v>2000</v>
      </c>
      <c r="D35" s="84"/>
      <c r="E35" s="84"/>
      <c r="F35" s="84">
        <v>0</v>
      </c>
      <c r="G35" s="525"/>
      <c r="H35" s="503">
        <v>12</v>
      </c>
      <c r="I35" s="101"/>
      <c r="J35" s="101">
        <v>769.35</v>
      </c>
      <c r="K35" s="101">
        <v>769.35</v>
      </c>
      <c r="L35" s="78">
        <f t="shared" si="3"/>
        <v>2.36</v>
      </c>
      <c r="M35" s="85">
        <f t="shared" si="4"/>
        <v>629.17999999999995</v>
      </c>
    </row>
    <row r="36" spans="1:13" x14ac:dyDescent="0.25">
      <c r="A36" s="516" t="s">
        <v>880</v>
      </c>
      <c r="B36" s="518">
        <f t="shared" si="2"/>
        <v>2000</v>
      </c>
      <c r="C36" s="542">
        <v>2000</v>
      </c>
      <c r="D36" s="542"/>
      <c r="E36" s="542"/>
      <c r="F36" s="525"/>
      <c r="G36" s="525"/>
      <c r="H36" s="503">
        <v>13</v>
      </c>
      <c r="I36" s="101">
        <v>1539.67</v>
      </c>
      <c r="J36" s="101"/>
      <c r="K36" s="101">
        <v>1539.67</v>
      </c>
      <c r="L36" s="78">
        <f t="shared" si="3"/>
        <v>4.7300000000000004</v>
      </c>
      <c r="M36" s="85">
        <f t="shared" si="4"/>
        <v>1261.02</v>
      </c>
    </row>
    <row r="37" spans="1:13" x14ac:dyDescent="0.25">
      <c r="A37" s="658" t="s">
        <v>705</v>
      </c>
      <c r="B37" s="116">
        <f t="shared" si="2"/>
        <v>1000</v>
      </c>
      <c r="C37" s="84">
        <f>C38</f>
        <v>1000</v>
      </c>
      <c r="D37" s="84"/>
      <c r="E37" s="84"/>
      <c r="F37" s="84">
        <v>0</v>
      </c>
      <c r="G37" s="525"/>
      <c r="H37" s="503">
        <v>14</v>
      </c>
      <c r="I37" s="101"/>
      <c r="J37" s="101">
        <v>884.5</v>
      </c>
      <c r="K37" s="101">
        <v>884.5</v>
      </c>
      <c r="L37" s="78">
        <f t="shared" si="3"/>
        <v>2.72</v>
      </c>
      <c r="M37" s="85">
        <f>$M$45*L37%</f>
        <v>725.15</v>
      </c>
    </row>
    <row r="38" spans="1:13" x14ac:dyDescent="0.25">
      <c r="A38" s="516" t="s">
        <v>880</v>
      </c>
      <c r="B38" s="518">
        <f t="shared" si="2"/>
        <v>1000</v>
      </c>
      <c r="C38" s="542">
        <v>1000</v>
      </c>
      <c r="D38" s="542"/>
      <c r="E38" s="542"/>
      <c r="F38" s="525"/>
      <c r="G38" s="525"/>
      <c r="H38" s="503">
        <v>15</v>
      </c>
      <c r="I38" s="101"/>
      <c r="J38" s="101">
        <v>2487.5100000000002</v>
      </c>
      <c r="K38" s="101">
        <v>2487.5100000000002</v>
      </c>
      <c r="L38" s="78">
        <f t="shared" si="3"/>
        <v>7.64</v>
      </c>
      <c r="M38" s="85">
        <f>$M$45*L38%-0.4</f>
        <v>2036.42</v>
      </c>
    </row>
    <row r="39" spans="1:13" x14ac:dyDescent="0.25">
      <c r="A39" s="416" t="s">
        <v>706</v>
      </c>
      <c r="B39" s="116">
        <f t="shared" si="2"/>
        <v>208113.41</v>
      </c>
      <c r="C39" s="84">
        <f>C40+C41+C42+C43+C44</f>
        <v>208113.41</v>
      </c>
      <c r="D39" s="84"/>
      <c r="E39" s="84"/>
      <c r="F39" s="84">
        <v>0</v>
      </c>
      <c r="G39" s="525"/>
      <c r="H39" s="503">
        <v>16</v>
      </c>
      <c r="I39" s="101"/>
      <c r="J39" s="101">
        <v>202.09</v>
      </c>
      <c r="K39" s="101">
        <v>202.09</v>
      </c>
      <c r="L39" s="78">
        <f t="shared" si="3"/>
        <v>0.62</v>
      </c>
      <c r="M39" s="85">
        <f t="shared" si="4"/>
        <v>165.29</v>
      </c>
    </row>
    <row r="40" spans="1:13" ht="11.85" customHeight="1" x14ac:dyDescent="0.25">
      <c r="A40" s="516" t="s">
        <v>889</v>
      </c>
      <c r="B40" s="518">
        <f t="shared" si="2"/>
        <v>40000</v>
      </c>
      <c r="C40" s="542">
        <v>40000</v>
      </c>
      <c r="D40" s="542"/>
      <c r="E40" s="542"/>
      <c r="F40" s="525"/>
      <c r="G40" s="525"/>
      <c r="H40" s="503">
        <v>17</v>
      </c>
      <c r="I40" s="101"/>
      <c r="J40" s="101">
        <v>57.15</v>
      </c>
      <c r="K40" s="101">
        <v>57.15</v>
      </c>
      <c r="L40" s="78">
        <f>K40/$K$45*100-0.01</f>
        <v>0.17</v>
      </c>
      <c r="M40" s="85">
        <f t="shared" si="4"/>
        <v>45.32</v>
      </c>
    </row>
    <row r="41" spans="1:13" ht="11.85" customHeight="1" x14ac:dyDescent="0.25">
      <c r="A41" s="516" t="s">
        <v>883</v>
      </c>
      <c r="B41" s="518">
        <f t="shared" si="2"/>
        <v>30510.93</v>
      </c>
      <c r="C41" s="542">
        <f>20000+10510.93</f>
        <v>30510.93</v>
      </c>
      <c r="D41" s="542"/>
      <c r="E41" s="542"/>
      <c r="F41" s="525"/>
      <c r="G41" s="525"/>
      <c r="H41" s="503">
        <v>18</v>
      </c>
      <c r="I41" s="101"/>
      <c r="J41" s="101">
        <v>146.04</v>
      </c>
      <c r="K41" s="101">
        <v>146.04</v>
      </c>
      <c r="L41" s="78">
        <f t="shared" si="3"/>
        <v>0.45</v>
      </c>
      <c r="M41" s="85">
        <f t="shared" si="4"/>
        <v>119.97</v>
      </c>
    </row>
    <row r="42" spans="1:13" ht="11.85" customHeight="1" x14ac:dyDescent="0.25">
      <c r="A42" s="516" t="s">
        <v>884</v>
      </c>
      <c r="B42" s="518">
        <f t="shared" si="2"/>
        <v>60000</v>
      </c>
      <c r="C42" s="542">
        <v>60000</v>
      </c>
      <c r="D42" s="542"/>
      <c r="E42" s="542"/>
      <c r="F42" s="525"/>
      <c r="G42" s="525"/>
      <c r="H42" s="503">
        <v>5</v>
      </c>
      <c r="I42" s="101"/>
      <c r="J42" s="101">
        <v>533.41999999999996</v>
      </c>
      <c r="K42" s="101">
        <v>533.41999999999996</v>
      </c>
      <c r="L42" s="78">
        <f t="shared" si="3"/>
        <v>1.64</v>
      </c>
      <c r="M42" s="85">
        <f t="shared" si="4"/>
        <v>437.22</v>
      </c>
    </row>
    <row r="43" spans="1:13" ht="11.85" customHeight="1" x14ac:dyDescent="0.25">
      <c r="A43" s="516" t="s">
        <v>880</v>
      </c>
      <c r="B43" s="518">
        <f t="shared" si="2"/>
        <v>75102.48</v>
      </c>
      <c r="C43" s="542">
        <f>45102.48+30000</f>
        <v>75102.48</v>
      </c>
      <c r="D43" s="542"/>
      <c r="E43" s="542"/>
      <c r="F43" s="525"/>
      <c r="G43" s="525"/>
      <c r="H43" s="503">
        <v>8</v>
      </c>
      <c r="I43" s="101"/>
      <c r="J43" s="101">
        <v>2274.3000000000002</v>
      </c>
      <c r="K43" s="101">
        <v>2274.3000000000002</v>
      </c>
      <c r="L43" s="78">
        <f t="shared" si="3"/>
        <v>6.98</v>
      </c>
      <c r="M43" s="85">
        <f t="shared" si="4"/>
        <v>1860.87</v>
      </c>
    </row>
    <row r="44" spans="1:13" ht="11.85" customHeight="1" x14ac:dyDescent="0.25">
      <c r="A44" s="516" t="s">
        <v>882</v>
      </c>
      <c r="B44" s="518">
        <f t="shared" si="2"/>
        <v>2500</v>
      </c>
      <c r="C44" s="542">
        <v>2500</v>
      </c>
      <c r="D44" s="542"/>
      <c r="E44" s="542"/>
      <c r="F44" s="525"/>
      <c r="G44" s="525"/>
      <c r="H44" s="503"/>
      <c r="I44" s="101"/>
      <c r="J44" s="101"/>
      <c r="K44" s="101"/>
      <c r="L44" s="78"/>
      <c r="M44" s="85"/>
    </row>
    <row r="45" spans="1:13" x14ac:dyDescent="0.25">
      <c r="A45" s="416" t="s">
        <v>707</v>
      </c>
      <c r="B45" s="116">
        <f t="shared" si="2"/>
        <v>10000</v>
      </c>
      <c r="C45" s="84">
        <f>C46</f>
        <v>10000</v>
      </c>
      <c r="D45" s="84"/>
      <c r="E45" s="84"/>
      <c r="F45" s="84">
        <v>0</v>
      </c>
      <c r="G45" s="525"/>
      <c r="H45" s="503" t="s">
        <v>854</v>
      </c>
      <c r="I45" s="101">
        <v>1539.67</v>
      </c>
      <c r="J45" s="103">
        <v>31030.95</v>
      </c>
      <c r="K45" s="104">
        <v>32570.62</v>
      </c>
      <c r="L45" s="106">
        <f>SUM(L32:L43)</f>
        <v>100</v>
      </c>
      <c r="M45" s="107">
        <f>M14</f>
        <v>26660</v>
      </c>
    </row>
    <row r="46" spans="1:13" x14ac:dyDescent="0.25">
      <c r="A46" s="516" t="s">
        <v>880</v>
      </c>
      <c r="B46" s="518">
        <f t="shared" si="2"/>
        <v>10000</v>
      </c>
      <c r="C46" s="542">
        <v>10000</v>
      </c>
      <c r="D46" s="542"/>
      <c r="E46" s="542"/>
      <c r="F46" s="525"/>
      <c r="G46" s="525"/>
    </row>
    <row r="47" spans="1:13" ht="27.75" customHeight="1" x14ac:dyDescent="0.25">
      <c r="A47" s="416" t="s">
        <v>630</v>
      </c>
      <c r="B47" s="116">
        <f>C47+F47</f>
        <v>26660.66</v>
      </c>
      <c r="C47" s="84">
        <f>C48+C49+C50+C51+C52+C53+C54+C55+C56+C57</f>
        <v>26660.66</v>
      </c>
      <c r="D47" s="84"/>
      <c r="E47" s="84"/>
      <c r="F47" s="84">
        <f>F48+F49+F50+F51+F52+F53+F54+F55+F56+F57</f>
        <v>0</v>
      </c>
      <c r="G47" s="548"/>
    </row>
    <row r="48" spans="1:13" ht="11.85" customHeight="1" x14ac:dyDescent="0.25">
      <c r="A48" s="516" t="s">
        <v>880</v>
      </c>
      <c r="B48" s="518">
        <f t="shared" ref="B48:B57" si="5">C48+F48</f>
        <v>2155.2399999999998</v>
      </c>
      <c r="C48" s="542">
        <v>2155.2399999999998</v>
      </c>
      <c r="D48" s="542"/>
      <c r="E48" s="542"/>
      <c r="F48" s="525"/>
      <c r="G48" s="525"/>
    </row>
    <row r="49" spans="1:10" ht="11.85" customHeight="1" x14ac:dyDescent="0.25">
      <c r="A49" s="516" t="s">
        <v>701</v>
      </c>
      <c r="B49" s="518">
        <f t="shared" si="5"/>
        <v>1261.02</v>
      </c>
      <c r="C49" s="542">
        <f>M36</f>
        <v>1261.02</v>
      </c>
      <c r="D49" s="542"/>
      <c r="E49" s="542"/>
      <c r="F49" s="525"/>
      <c r="G49" s="525"/>
      <c r="J49" s="76"/>
    </row>
    <row r="50" spans="1:10" ht="11.85" customHeight="1" x14ac:dyDescent="0.25">
      <c r="A50" s="516" t="s">
        <v>882</v>
      </c>
      <c r="B50" s="518">
        <f t="shared" si="5"/>
        <v>18831.580000000002</v>
      </c>
      <c r="C50" s="542">
        <v>18831.580000000002</v>
      </c>
      <c r="D50" s="542"/>
      <c r="E50" s="542"/>
      <c r="F50" s="525"/>
      <c r="G50" s="525"/>
    </row>
    <row r="51" spans="1:10" ht="11.85" customHeight="1" x14ac:dyDescent="0.25">
      <c r="A51" s="516" t="s">
        <v>886</v>
      </c>
      <c r="B51" s="518">
        <f t="shared" si="5"/>
        <v>46.78</v>
      </c>
      <c r="C51" s="542">
        <v>46.78</v>
      </c>
      <c r="D51" s="542"/>
      <c r="E51" s="542"/>
      <c r="F51" s="525"/>
      <c r="G51" s="525"/>
    </row>
    <row r="52" spans="1:10" ht="11.85" customHeight="1" x14ac:dyDescent="0.25">
      <c r="A52" s="516" t="s">
        <v>887</v>
      </c>
      <c r="B52" s="518">
        <f t="shared" si="5"/>
        <v>725.15</v>
      </c>
      <c r="C52" s="542">
        <f>M37</f>
        <v>725.15</v>
      </c>
      <c r="D52" s="542"/>
      <c r="E52" s="542"/>
      <c r="F52" s="525"/>
      <c r="G52" s="525"/>
    </row>
    <row r="53" spans="1:10" ht="11.85" customHeight="1" x14ac:dyDescent="0.25">
      <c r="A53" s="516" t="s">
        <v>889</v>
      </c>
      <c r="B53" s="518">
        <f t="shared" si="5"/>
        <v>165.42</v>
      </c>
      <c r="C53" s="542">
        <v>165.42</v>
      </c>
      <c r="D53" s="542"/>
      <c r="E53" s="542"/>
      <c r="F53" s="525"/>
      <c r="G53" s="525"/>
    </row>
    <row r="54" spans="1:10" ht="11.85" customHeight="1" x14ac:dyDescent="0.25">
      <c r="A54" s="516" t="s">
        <v>715</v>
      </c>
      <c r="B54" s="518">
        <f t="shared" si="5"/>
        <v>629.17999999999995</v>
      </c>
      <c r="C54" s="542">
        <f>M35</f>
        <v>629.17999999999995</v>
      </c>
      <c r="D54" s="542"/>
      <c r="E54" s="542"/>
      <c r="F54" s="525"/>
      <c r="G54" s="525"/>
    </row>
    <row r="55" spans="1:10" ht="11.85" customHeight="1" x14ac:dyDescent="0.25">
      <c r="A55" s="516" t="s">
        <v>569</v>
      </c>
      <c r="B55" s="518">
        <f t="shared" si="5"/>
        <v>1860.87</v>
      </c>
      <c r="C55" s="542">
        <f>M43</f>
        <v>1860.87</v>
      </c>
      <c r="D55" s="542"/>
      <c r="E55" s="542"/>
      <c r="F55" s="525"/>
      <c r="G55" s="525"/>
    </row>
    <row r="56" spans="1:10" ht="11.85" customHeight="1" x14ac:dyDescent="0.25">
      <c r="A56" s="516" t="s">
        <v>883</v>
      </c>
      <c r="B56" s="518">
        <f t="shared" si="5"/>
        <v>548.20000000000005</v>
      </c>
      <c r="C56" s="542">
        <v>548.20000000000005</v>
      </c>
      <c r="D56" s="542"/>
      <c r="E56" s="542"/>
      <c r="F56" s="525"/>
      <c r="G56" s="525"/>
    </row>
    <row r="57" spans="1:10" ht="11.85" customHeight="1" x14ac:dyDescent="0.25">
      <c r="A57" s="516" t="s">
        <v>884</v>
      </c>
      <c r="B57" s="518">
        <f t="shared" si="5"/>
        <v>437.22</v>
      </c>
      <c r="C57" s="542">
        <f>M42</f>
        <v>437.22</v>
      </c>
      <c r="D57" s="542"/>
      <c r="E57" s="542"/>
      <c r="F57" s="525"/>
      <c r="G57" s="525"/>
    </row>
    <row r="58" spans="1:10" ht="23.65" customHeight="1" x14ac:dyDescent="0.25">
      <c r="A58" s="659" t="s">
        <v>708</v>
      </c>
      <c r="B58" s="116">
        <f>C58+F58</f>
        <v>3464.84</v>
      </c>
      <c r="C58" s="84">
        <f>C59+C60</f>
        <v>3464.84</v>
      </c>
      <c r="D58" s="84"/>
      <c r="E58" s="84"/>
      <c r="F58" s="84">
        <v>0</v>
      </c>
      <c r="G58" s="525"/>
    </row>
    <row r="59" spans="1:10" x14ac:dyDescent="0.25">
      <c r="A59" s="516" t="s">
        <v>880</v>
      </c>
      <c r="B59" s="518">
        <f>C59+F59</f>
        <v>1556.3</v>
      </c>
      <c r="C59" s="117">
        <f>60*18.9*1.15+30*7.31*1.15</f>
        <v>1556.3</v>
      </c>
      <c r="D59" s="117"/>
      <c r="E59" s="117"/>
      <c r="F59" s="525"/>
      <c r="G59" s="525"/>
    </row>
    <row r="60" spans="1:10" x14ac:dyDescent="0.25">
      <c r="A60" s="516" t="s">
        <v>889</v>
      </c>
      <c r="B60" s="518">
        <f>C60+F60</f>
        <v>1908.54</v>
      </c>
      <c r="C60" s="117">
        <f>80*18.9*1.15+20*7.38*1.15</f>
        <v>1908.54</v>
      </c>
      <c r="D60" s="117"/>
      <c r="E60" s="117"/>
      <c r="F60" s="525"/>
      <c r="G60" s="525"/>
    </row>
    <row r="61" spans="1:10" ht="16.7" customHeight="1" x14ac:dyDescent="0.25">
      <c r="A61" s="416" t="s">
        <v>709</v>
      </c>
      <c r="B61" s="116">
        <f>C61+F61</f>
        <v>384</v>
      </c>
      <c r="C61" s="84">
        <f>C62</f>
        <v>384</v>
      </c>
      <c r="D61" s="84"/>
      <c r="E61" s="84"/>
      <c r="F61" s="84">
        <f>F62</f>
        <v>0</v>
      </c>
      <c r="G61" s="84"/>
    </row>
    <row r="62" spans="1:10" x14ac:dyDescent="0.25">
      <c r="A62" s="516" t="s">
        <v>883</v>
      </c>
      <c r="B62" s="529">
        <f>C62+F62</f>
        <v>384</v>
      </c>
      <c r="C62" s="542">
        <v>384</v>
      </c>
      <c r="D62" s="542"/>
      <c r="E62" s="542"/>
      <c r="F62" s="513">
        <v>0</v>
      </c>
      <c r="G62" s="513"/>
    </row>
    <row r="63" spans="1:10" ht="28.5" customHeight="1" x14ac:dyDescent="0.25">
      <c r="A63" s="659" t="s">
        <v>629</v>
      </c>
      <c r="B63" s="116">
        <f t="shared" ref="B63:B68" si="6">C63+F63</f>
        <v>25756</v>
      </c>
      <c r="C63" s="84">
        <f>C64+C65+C66+C67</f>
        <v>11248</v>
      </c>
      <c r="D63" s="84">
        <f>D64+D65+D66+D67</f>
        <v>11606.4</v>
      </c>
      <c r="E63" s="84">
        <f>E64+E65+E66+E67</f>
        <v>2901.6</v>
      </c>
      <c r="F63" s="84">
        <f>F64+F65+F66+F67</f>
        <v>14508</v>
      </c>
      <c r="G63" s="84">
        <v>14508</v>
      </c>
    </row>
    <row r="64" spans="1:10" x14ac:dyDescent="0.25">
      <c r="A64" s="516" t="s">
        <v>880</v>
      </c>
      <c r="B64" s="518">
        <f t="shared" si="6"/>
        <v>7700</v>
      </c>
      <c r="C64" s="513">
        <v>0</v>
      </c>
      <c r="D64" s="513">
        <f>F64/I19*I17</f>
        <v>6160</v>
      </c>
      <c r="E64" s="513">
        <f>F64/I19*I18</f>
        <v>1540</v>
      </c>
      <c r="F64" s="542">
        <f>100*77</f>
        <v>7700</v>
      </c>
      <c r="G64" s="542"/>
    </row>
    <row r="65" spans="1:8" x14ac:dyDescent="0.25">
      <c r="A65" s="516" t="s">
        <v>908</v>
      </c>
      <c r="B65" s="518">
        <f t="shared" si="6"/>
        <v>9768</v>
      </c>
      <c r="C65" s="542">
        <f>296*6+296*9*2</f>
        <v>7104</v>
      </c>
      <c r="D65" s="542">
        <f>F65/I19*I17</f>
        <v>2131.1999999999998</v>
      </c>
      <c r="E65" s="542">
        <f>F65/I19*I18</f>
        <v>532.79999999999995</v>
      </c>
      <c r="F65" s="542">
        <f>296*9</f>
        <v>2664</v>
      </c>
      <c r="G65" s="542"/>
    </row>
    <row r="66" spans="1:8" x14ac:dyDescent="0.25">
      <c r="A66" s="516" t="s">
        <v>710</v>
      </c>
      <c r="B66" s="518">
        <f t="shared" si="6"/>
        <v>4144</v>
      </c>
      <c r="C66" s="542">
        <f>7*296*2</f>
        <v>4144</v>
      </c>
      <c r="D66" s="542"/>
      <c r="E66" s="542"/>
      <c r="F66" s="542"/>
      <c r="G66" s="542"/>
    </row>
    <row r="67" spans="1:8" x14ac:dyDescent="0.25">
      <c r="A67" s="516" t="s">
        <v>903</v>
      </c>
      <c r="B67" s="518">
        <f t="shared" si="6"/>
        <v>4144</v>
      </c>
      <c r="C67" s="542"/>
      <c r="D67" s="542">
        <f>F67/I19*I17</f>
        <v>3315.2</v>
      </c>
      <c r="E67" s="542">
        <f>F67/I19*I18</f>
        <v>828.8</v>
      </c>
      <c r="F67" s="542">
        <f>7*296*2</f>
        <v>4144</v>
      </c>
      <c r="G67" s="542"/>
    </row>
    <row r="68" spans="1:8" ht="26.25" x14ac:dyDescent="0.25">
      <c r="A68" s="416" t="s">
        <v>628</v>
      </c>
      <c r="B68" s="116">
        <f t="shared" si="6"/>
        <v>36000</v>
      </c>
      <c r="C68" s="84">
        <f>C69</f>
        <v>36000</v>
      </c>
      <c r="D68" s="84"/>
      <c r="E68" s="84"/>
      <c r="F68" s="84">
        <f>F69</f>
        <v>0</v>
      </c>
      <c r="G68" s="525"/>
    </row>
    <row r="69" spans="1:8" x14ac:dyDescent="0.25">
      <c r="A69" s="516" t="s">
        <v>884</v>
      </c>
      <c r="B69" s="529">
        <f t="shared" ref="B69:B76" si="7">C69</f>
        <v>36000</v>
      </c>
      <c r="C69" s="542">
        <v>36000</v>
      </c>
      <c r="D69" s="542"/>
      <c r="E69" s="542"/>
      <c r="F69" s="525"/>
      <c r="G69" s="525"/>
    </row>
    <row r="70" spans="1:8" x14ac:dyDescent="0.25">
      <c r="A70" s="416" t="s">
        <v>711</v>
      </c>
      <c r="B70" s="116">
        <f t="shared" si="7"/>
        <v>22726.799999999999</v>
      </c>
      <c r="C70" s="84">
        <f>C71</f>
        <v>22726.799999999999</v>
      </c>
      <c r="D70" s="84"/>
      <c r="E70" s="84"/>
      <c r="F70" s="84">
        <f>F71</f>
        <v>0</v>
      </c>
      <c r="G70" s="526"/>
    </row>
    <row r="71" spans="1:8" x14ac:dyDescent="0.25">
      <c r="A71" s="516" t="s">
        <v>908</v>
      </c>
      <c r="B71" s="529">
        <f t="shared" si="7"/>
        <v>22726.799999999999</v>
      </c>
      <c r="C71" s="542">
        <v>22726.799999999999</v>
      </c>
      <c r="D71" s="542"/>
      <c r="E71" s="542"/>
      <c r="F71" s="525"/>
      <c r="G71" s="525"/>
    </row>
    <row r="72" spans="1:8" x14ac:dyDescent="0.25">
      <c r="A72" s="416" t="s">
        <v>712</v>
      </c>
      <c r="B72" s="116">
        <f t="shared" si="7"/>
        <v>2166.48</v>
      </c>
      <c r="C72" s="84">
        <f>C73</f>
        <v>2166.48</v>
      </c>
      <c r="D72" s="84"/>
      <c r="E72" s="84"/>
      <c r="F72" s="84">
        <f>F73</f>
        <v>0</v>
      </c>
      <c r="G72" s="526"/>
    </row>
    <row r="73" spans="1:8" x14ac:dyDescent="0.25">
      <c r="A73" s="516" t="s">
        <v>908</v>
      </c>
      <c r="B73" s="529">
        <f t="shared" si="7"/>
        <v>2166.48</v>
      </c>
      <c r="C73" s="542">
        <v>2166.48</v>
      </c>
      <c r="D73" s="542"/>
      <c r="E73" s="542"/>
      <c r="F73" s="525"/>
      <c r="G73" s="525"/>
    </row>
    <row r="74" spans="1:8" x14ac:dyDescent="0.25">
      <c r="A74" s="658" t="s">
        <v>713</v>
      </c>
      <c r="B74" s="116">
        <f t="shared" si="7"/>
        <v>119200</v>
      </c>
      <c r="C74" s="84">
        <f>C75+C76</f>
        <v>119200</v>
      </c>
      <c r="D74" s="84"/>
      <c r="E74" s="84"/>
      <c r="F74" s="84">
        <f>F75</f>
        <v>0</v>
      </c>
      <c r="G74" s="526"/>
    </row>
    <row r="75" spans="1:8" x14ac:dyDescent="0.25">
      <c r="A75" s="516" t="s">
        <v>880</v>
      </c>
      <c r="B75" s="518">
        <f t="shared" si="7"/>
        <v>22600</v>
      </c>
      <c r="C75" s="513">
        <v>22600</v>
      </c>
      <c r="D75" s="513"/>
      <c r="E75" s="513"/>
      <c r="F75" s="525"/>
      <c r="G75" s="525"/>
    </row>
    <row r="76" spans="1:8" x14ac:dyDescent="0.25">
      <c r="A76" s="516" t="s">
        <v>889</v>
      </c>
      <c r="B76" s="518">
        <f t="shared" si="7"/>
        <v>96600</v>
      </c>
      <c r="C76" s="513">
        <f>96600</f>
        <v>96600</v>
      </c>
      <c r="D76" s="513"/>
      <c r="E76" s="513"/>
      <c r="F76" s="525"/>
      <c r="G76" s="525"/>
    </row>
    <row r="77" spans="1:8" ht="25.5" x14ac:dyDescent="0.25">
      <c r="A77" s="80" t="s">
        <v>627</v>
      </c>
      <c r="B77" s="116">
        <f t="shared" ref="B77:B85" si="8">C77+F77</f>
        <v>103200</v>
      </c>
      <c r="C77" s="84">
        <f>C78</f>
        <v>50136</v>
      </c>
      <c r="D77" s="84">
        <f>D78+D79</f>
        <v>42451.199999999997</v>
      </c>
      <c r="E77" s="84">
        <f>E78+E79</f>
        <v>10612.8</v>
      </c>
      <c r="F77" s="84">
        <f>F78+F79</f>
        <v>53064</v>
      </c>
      <c r="G77" s="513"/>
    </row>
    <row r="78" spans="1:8" x14ac:dyDescent="0.25">
      <c r="A78" s="516" t="s">
        <v>710</v>
      </c>
      <c r="B78" s="518">
        <f t="shared" si="8"/>
        <v>50136</v>
      </c>
      <c r="C78" s="531">
        <f>2178*12+2000*12</f>
        <v>50136</v>
      </c>
      <c r="D78" s="531"/>
      <c r="E78" s="531"/>
      <c r="F78" s="117"/>
      <c r="G78" s="117"/>
      <c r="H78" s="76">
        <f>C78/12</f>
        <v>4178</v>
      </c>
    </row>
    <row r="79" spans="1:8" x14ac:dyDescent="0.25">
      <c r="A79" s="516" t="s">
        <v>904</v>
      </c>
      <c r="B79" s="518">
        <f t="shared" si="8"/>
        <v>53064</v>
      </c>
      <c r="C79" s="114"/>
      <c r="D79" s="114">
        <f>F79/I19*I17</f>
        <v>42451.199999999997</v>
      </c>
      <c r="E79" s="114">
        <f>F79/I19*I18</f>
        <v>10612.8</v>
      </c>
      <c r="F79" s="117">
        <f>4422*12</f>
        <v>53064</v>
      </c>
      <c r="G79" s="117"/>
      <c r="H79" s="76">
        <f>D79/12</f>
        <v>3537.6</v>
      </c>
    </row>
    <row r="80" spans="1:8" ht="25.5" x14ac:dyDescent="0.25">
      <c r="A80" s="80" t="s">
        <v>626</v>
      </c>
      <c r="B80" s="116">
        <f t="shared" si="8"/>
        <v>79200</v>
      </c>
      <c r="C80" s="84">
        <f>C81</f>
        <v>41412</v>
      </c>
      <c r="D80" s="84">
        <f>D81+D82</f>
        <v>30230.400000000001</v>
      </c>
      <c r="E80" s="84">
        <f>E81+E82</f>
        <v>7557.6</v>
      </c>
      <c r="F80" s="84">
        <f>F81+F82</f>
        <v>37788</v>
      </c>
      <c r="G80" s="523"/>
      <c r="H80" s="76">
        <f>E79/12</f>
        <v>884.4</v>
      </c>
    </row>
    <row r="81" spans="1:10" x14ac:dyDescent="0.25">
      <c r="A81" s="516" t="s">
        <v>710</v>
      </c>
      <c r="B81" s="518">
        <f t="shared" si="8"/>
        <v>41412</v>
      </c>
      <c r="C81" s="531">
        <f>1551*12+1900*12</f>
        <v>41412</v>
      </c>
      <c r="D81" s="531"/>
      <c r="E81" s="531"/>
      <c r="F81" s="117"/>
      <c r="G81" s="117"/>
      <c r="H81" s="76"/>
    </row>
    <row r="82" spans="1:10" x14ac:dyDescent="0.25">
      <c r="A82" s="516" t="s">
        <v>904</v>
      </c>
      <c r="B82" s="518">
        <f t="shared" si="8"/>
        <v>37788</v>
      </c>
      <c r="C82" s="114"/>
      <c r="D82" s="114">
        <f>F82/I19*I17</f>
        <v>30230.400000000001</v>
      </c>
      <c r="E82" s="114">
        <f>F82/I19*I18</f>
        <v>7557.6</v>
      </c>
      <c r="F82" s="117">
        <f>3149*12</f>
        <v>37788</v>
      </c>
      <c r="G82" s="117"/>
      <c r="H82" s="76"/>
    </row>
    <row r="83" spans="1:10" x14ac:dyDescent="0.25">
      <c r="A83" s="416" t="s">
        <v>716</v>
      </c>
      <c r="B83" s="116">
        <f t="shared" si="8"/>
        <v>781872</v>
      </c>
      <c r="C83" s="119">
        <f>C84</f>
        <v>781872</v>
      </c>
      <c r="D83" s="119"/>
      <c r="E83" s="119"/>
      <c r="F83" s="542"/>
      <c r="G83" s="542"/>
      <c r="H83" s="76"/>
    </row>
    <row r="84" spans="1:10" x14ac:dyDescent="0.25">
      <c r="A84" s="516" t="s">
        <v>710</v>
      </c>
      <c r="B84" s="529">
        <f t="shared" si="8"/>
        <v>781872</v>
      </c>
      <c r="C84" s="530">
        <f>65156*12</f>
        <v>781872</v>
      </c>
      <c r="D84" s="530"/>
      <c r="E84" s="530"/>
      <c r="F84" s="542"/>
      <c r="G84" s="542"/>
    </row>
    <row r="85" spans="1:10" ht="13.5" customHeight="1" x14ac:dyDescent="0.25">
      <c r="A85" s="416" t="s">
        <v>717</v>
      </c>
      <c r="B85" s="116">
        <f t="shared" si="8"/>
        <v>0</v>
      </c>
      <c r="C85" s="84">
        <f>C86</f>
        <v>0</v>
      </c>
      <c r="D85" s="84"/>
      <c r="E85" s="84"/>
      <c r="F85" s="84">
        <f>F86</f>
        <v>0</v>
      </c>
      <c r="G85" s="542"/>
    </row>
    <row r="86" spans="1:10" x14ac:dyDescent="0.25">
      <c r="A86" s="516" t="s">
        <v>710</v>
      </c>
      <c r="B86" s="548"/>
      <c r="C86" s="542"/>
      <c r="D86" s="542"/>
      <c r="E86" s="542"/>
      <c r="F86" s="542"/>
      <c r="G86" s="542"/>
    </row>
    <row r="87" spans="1:10" x14ac:dyDescent="0.25">
      <c r="A87" s="658" t="s">
        <v>714</v>
      </c>
      <c r="B87" s="116">
        <f>C87+F87</f>
        <v>655.4</v>
      </c>
      <c r="C87" s="84">
        <f>C88</f>
        <v>655.4</v>
      </c>
      <c r="D87" s="84"/>
      <c r="E87" s="84"/>
      <c r="F87" s="84">
        <f>F88</f>
        <v>0</v>
      </c>
      <c r="G87" s="525"/>
    </row>
    <row r="88" spans="1:10" x14ac:dyDescent="0.25">
      <c r="A88" s="516" t="s">
        <v>710</v>
      </c>
      <c r="B88" s="518">
        <f>C88+F88</f>
        <v>655.4</v>
      </c>
      <c r="C88" s="542">
        <v>655.4</v>
      </c>
      <c r="D88" s="542"/>
      <c r="E88" s="542"/>
      <c r="F88" s="525"/>
      <c r="G88" s="525"/>
    </row>
    <row r="89" spans="1:10" ht="26.25" customHeight="1" x14ac:dyDescent="0.25">
      <c r="A89" s="416" t="s">
        <v>609</v>
      </c>
      <c r="B89" s="116">
        <f>C89+F89</f>
        <v>17500</v>
      </c>
      <c r="C89" s="84">
        <f>C90</f>
        <v>17500</v>
      </c>
      <c r="D89" s="84"/>
      <c r="E89" s="84"/>
      <c r="F89" s="84">
        <f>F90</f>
        <v>0</v>
      </c>
      <c r="G89" s="117"/>
    </row>
    <row r="90" spans="1:10" ht="11.45" customHeight="1" x14ac:dyDescent="0.25">
      <c r="A90" s="516" t="s">
        <v>904</v>
      </c>
      <c r="B90" s="518">
        <f>C90+F90</f>
        <v>17500</v>
      </c>
      <c r="C90" s="513">
        <v>17500</v>
      </c>
      <c r="D90" s="513"/>
      <c r="E90" s="513"/>
      <c r="F90" s="513">
        <v>0</v>
      </c>
      <c r="G90" s="117">
        <v>60300</v>
      </c>
    </row>
    <row r="91" spans="1:10" ht="15.75" customHeight="1" x14ac:dyDescent="0.25">
      <c r="A91" s="123" t="s">
        <v>794</v>
      </c>
      <c r="B91" s="116">
        <f>C91+D91+E91</f>
        <v>58650</v>
      </c>
      <c r="C91" s="84">
        <f>C92</f>
        <v>58650</v>
      </c>
      <c r="D91" s="513"/>
      <c r="E91" s="513"/>
      <c r="F91" s="513"/>
      <c r="G91" s="117"/>
    </row>
    <row r="92" spans="1:10" ht="11.45" customHeight="1" x14ac:dyDescent="0.25">
      <c r="A92" s="516" t="s">
        <v>904</v>
      </c>
      <c r="B92" s="518">
        <f>C92+D92+E92</f>
        <v>58650</v>
      </c>
      <c r="C92" s="490">
        <v>58650</v>
      </c>
      <c r="D92" s="513"/>
      <c r="E92" s="513"/>
      <c r="F92" s="513"/>
      <c r="G92" s="117"/>
    </row>
    <row r="93" spans="1:10" ht="21.75" customHeight="1" x14ac:dyDescent="0.25">
      <c r="A93" s="90" t="s">
        <v>784</v>
      </c>
      <c r="B93" s="170">
        <f t="shared" ref="B93:G93" si="9">B7+B9+B15+B17+B19+B20+B22+B24+B26+B29+B31+B33+B35+B37+B39+B45+B47+B58+B61+B63+B68+B70+B72+B74+B77+B80+B83+B85+B87+B89+B91</f>
        <v>2023124.46</v>
      </c>
      <c r="C93" s="170">
        <f t="shared" si="9"/>
        <v>1852081.68</v>
      </c>
      <c r="D93" s="170">
        <f t="shared" si="9"/>
        <v>136834.22</v>
      </c>
      <c r="E93" s="170">
        <f t="shared" si="9"/>
        <v>34208.559999999998</v>
      </c>
      <c r="F93" s="170">
        <f t="shared" si="9"/>
        <v>171042.78</v>
      </c>
      <c r="G93" s="170">
        <f t="shared" si="9"/>
        <v>84508</v>
      </c>
      <c r="H93" s="617">
        <f>F93*80%</f>
        <v>136834.22</v>
      </c>
    </row>
    <row r="94" spans="1:10" x14ac:dyDescent="0.25">
      <c r="H94" s="76">
        <f>H93-D93</f>
        <v>0</v>
      </c>
      <c r="I94" s="506" t="s">
        <v>636</v>
      </c>
    </row>
    <row r="95" spans="1:10" x14ac:dyDescent="0.25">
      <c r="A95" s="195" t="s">
        <v>824</v>
      </c>
      <c r="B95" s="195"/>
      <c r="C95" s="520"/>
      <c r="D95" s="520"/>
      <c r="E95" s="520"/>
      <c r="F95" s="520" t="s">
        <v>825</v>
      </c>
      <c r="H95">
        <v>16</v>
      </c>
      <c r="I95" s="162">
        <f>C28+C40+C53+C60+C76</f>
        <v>204123.97</v>
      </c>
      <c r="J95" s="76">
        <f>204123.97-I95</f>
        <v>0</v>
      </c>
    </row>
    <row r="96" spans="1:10" x14ac:dyDescent="0.25">
      <c r="A96" s="540"/>
      <c r="B96" s="540"/>
      <c r="H96">
        <v>15</v>
      </c>
      <c r="I96" s="162">
        <f>C8+C14+C16+C18+C21+C25+C27+C30+C32+C34+C36+C38+C43+C46+C48+C59+C64+C75+C79+C82+C90</f>
        <v>497384.89</v>
      </c>
      <c r="J96" s="76">
        <f>I96-497384.89</f>
        <v>0</v>
      </c>
    </row>
    <row r="97" spans="1:11" x14ac:dyDescent="0.25">
      <c r="A97" s="195" t="s">
        <v>99</v>
      </c>
      <c r="B97" s="195"/>
      <c r="C97" s="195"/>
      <c r="D97" s="195"/>
      <c r="E97" s="195"/>
      <c r="F97" s="195" t="s">
        <v>897</v>
      </c>
      <c r="H97">
        <v>13</v>
      </c>
      <c r="I97" s="162">
        <f>C23+C49+C55+C66+C78+C81+C84+C86+C88</f>
        <v>901195.39</v>
      </c>
      <c r="J97" s="76"/>
    </row>
    <row r="98" spans="1:11" x14ac:dyDescent="0.25">
      <c r="A98" s="10" t="s">
        <v>891</v>
      </c>
      <c r="C98" s="661"/>
      <c r="F98" s="540" t="s">
        <v>457</v>
      </c>
      <c r="H98">
        <v>17</v>
      </c>
      <c r="I98" s="162">
        <f>C19+C51</f>
        <v>8163.89</v>
      </c>
      <c r="J98" s="76"/>
    </row>
    <row r="99" spans="1:11" x14ac:dyDescent="0.25">
      <c r="C99" s="756">
        <f>'[8]смета от 11.01.2012'!$C$30</f>
        <v>1852081.68</v>
      </c>
      <c r="H99">
        <v>10</v>
      </c>
      <c r="I99" s="162">
        <f>'226 ОБЩАЯ'!C41+'226 ОБЩАЯ'!C56+'226 ОБЩАЯ'!C62</f>
        <v>31443.13</v>
      </c>
      <c r="J99" s="76">
        <f>31443.13-I99</f>
        <v>0</v>
      </c>
    </row>
    <row r="100" spans="1:11" x14ac:dyDescent="0.25">
      <c r="C100" s="604">
        <f>C99-C93</f>
        <v>0</v>
      </c>
      <c r="H100">
        <v>5</v>
      </c>
      <c r="I100" s="162">
        <f>C42+C57+C69</f>
        <v>96437.22</v>
      </c>
    </row>
    <row r="101" spans="1:11" x14ac:dyDescent="0.25">
      <c r="B101" s="58"/>
      <c r="H101" s="161">
        <v>14</v>
      </c>
      <c r="I101" s="162">
        <f>C52</f>
        <v>725.15</v>
      </c>
    </row>
    <row r="102" spans="1:11" x14ac:dyDescent="0.25">
      <c r="C102" s="550"/>
      <c r="D102" s="550"/>
      <c r="E102" s="550"/>
      <c r="H102">
        <v>12</v>
      </c>
      <c r="I102" s="162">
        <f>C54</f>
        <v>629.17999999999995</v>
      </c>
    </row>
    <row r="103" spans="1:11" x14ac:dyDescent="0.25">
      <c r="C103" s="755"/>
      <c r="D103" s="549"/>
      <c r="E103" s="549"/>
      <c r="H103">
        <v>11</v>
      </c>
      <c r="I103" s="162">
        <f>C44+C50+C65+C71+C73</f>
        <v>53328.86</v>
      </c>
      <c r="J103" s="76">
        <f>53328.86-I103</f>
        <v>0</v>
      </c>
      <c r="K103" s="76"/>
    </row>
    <row r="104" spans="1:11" x14ac:dyDescent="0.25">
      <c r="C104" s="549"/>
      <c r="D104" s="549"/>
      <c r="E104" s="549"/>
      <c r="I104" s="76">
        <f>C93-I95-I96-I97-I98-I99-I100-I101-I102-I103</f>
        <v>58650</v>
      </c>
    </row>
    <row r="115" spans="3:3" x14ac:dyDescent="0.25">
      <c r="C115" s="619">
        <f>'225 ОБЩАЯ'!B38+'226 ОБЩАЯ'!B89+'226 ОБЩАЯ'!B77</f>
        <v>210700</v>
      </c>
    </row>
  </sheetData>
  <mergeCells count="8">
    <mergeCell ref="A1:G1"/>
    <mergeCell ref="H29:L29"/>
    <mergeCell ref="M29:M30"/>
    <mergeCell ref="A4:A5"/>
    <mergeCell ref="B4:B5"/>
    <mergeCell ref="H28:K28"/>
    <mergeCell ref="D5:F5"/>
    <mergeCell ref="C4:F4"/>
  </mergeCells>
  <phoneticPr fontId="17" type="noConversion"/>
  <pageMargins left="0.7" right="0.7" top="0.75" bottom="0.75" header="0.3" footer="0.3"/>
  <pageSetup paperSize="9" scale="85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C6" sqref="C6"/>
    </sheetView>
  </sheetViews>
  <sheetFormatPr defaultRowHeight="15" x14ac:dyDescent="0.25"/>
  <cols>
    <col min="1" max="1" width="39.42578125" style="10" customWidth="1"/>
    <col min="2" max="2" width="9.28515625" style="10" customWidth="1"/>
    <col min="3" max="3" width="29.5703125" style="10" customWidth="1"/>
  </cols>
  <sheetData>
    <row r="1" spans="1:3" ht="49.5" customHeight="1" x14ac:dyDescent="0.25">
      <c r="A1" s="789" t="s">
        <v>106</v>
      </c>
      <c r="B1" s="795"/>
      <c r="C1" s="795"/>
    </row>
    <row r="2" spans="1:3" ht="19.5" customHeight="1" x14ac:dyDescent="0.25"/>
    <row r="4" spans="1:3" ht="45.75" customHeight="1" x14ac:dyDescent="0.25">
      <c r="A4" s="793" t="s">
        <v>730</v>
      </c>
      <c r="B4" s="791" t="s">
        <v>731</v>
      </c>
      <c r="C4" s="576" t="s">
        <v>751</v>
      </c>
    </row>
    <row r="5" spans="1:3" x14ac:dyDescent="0.25">
      <c r="A5" s="803"/>
      <c r="B5" s="792"/>
      <c r="C5" s="73" t="s">
        <v>668</v>
      </c>
    </row>
    <row r="6" spans="1:3" x14ac:dyDescent="0.25">
      <c r="A6" s="794"/>
      <c r="B6" s="73">
        <v>401928</v>
      </c>
      <c r="C6" s="73">
        <v>401928</v>
      </c>
    </row>
    <row r="7" spans="1:3" ht="28.5" customHeight="1" x14ac:dyDescent="0.25">
      <c r="A7" s="708" t="s">
        <v>581</v>
      </c>
      <c r="B7" s="464">
        <f>B8+B9+B10</f>
        <v>39240</v>
      </c>
      <c r="C7" s="464">
        <f>C8+C9+C10</f>
        <v>39240</v>
      </c>
    </row>
    <row r="8" spans="1:3" ht="64.5" customHeight="1" x14ac:dyDescent="0.25">
      <c r="A8" s="708" t="s">
        <v>674</v>
      </c>
      <c r="B8" s="464">
        <f>654*2*19</f>
        <v>24852</v>
      </c>
      <c r="C8" s="464">
        <f>654*2*19</f>
        <v>24852</v>
      </c>
    </row>
    <row r="9" spans="1:3" ht="51" customHeight="1" x14ac:dyDescent="0.25">
      <c r="A9" s="708" t="s">
        <v>673</v>
      </c>
      <c r="B9" s="464">
        <f>654*2*6</f>
        <v>7848</v>
      </c>
      <c r="C9" s="464">
        <f>654*2*6</f>
        <v>7848</v>
      </c>
    </row>
    <row r="10" spans="1:3" ht="42" customHeight="1" x14ac:dyDescent="0.25">
      <c r="A10" s="708" t="s">
        <v>672</v>
      </c>
      <c r="B10" s="464">
        <f>654*2*5</f>
        <v>6540</v>
      </c>
      <c r="C10" s="464">
        <f>654*2*5</f>
        <v>6540</v>
      </c>
    </row>
    <row r="11" spans="1:3" ht="18.75" customHeight="1" x14ac:dyDescent="0.25">
      <c r="A11" s="460" t="s">
        <v>828</v>
      </c>
      <c r="B11" s="116">
        <f>B7</f>
        <v>39240</v>
      </c>
      <c r="C11" s="116">
        <f>C7</f>
        <v>39240</v>
      </c>
    </row>
    <row r="16" spans="1:3" x14ac:dyDescent="0.25">
      <c r="A16" s="195" t="s">
        <v>824</v>
      </c>
      <c r="B16" s="520"/>
      <c r="C16" s="520" t="s">
        <v>825</v>
      </c>
    </row>
    <row r="17" spans="1:3" x14ac:dyDescent="0.25">
      <c r="A17" s="195"/>
      <c r="B17" s="520"/>
      <c r="C17" s="520"/>
    </row>
    <row r="18" spans="1:3" x14ac:dyDescent="0.25">
      <c r="A18" s="540"/>
      <c r="B18" s="540"/>
      <c r="C18" s="540"/>
    </row>
    <row r="19" spans="1:3" x14ac:dyDescent="0.25">
      <c r="A19" s="195" t="s">
        <v>99</v>
      </c>
      <c r="B19" s="195"/>
      <c r="C19" s="195" t="s">
        <v>897</v>
      </c>
    </row>
  </sheetData>
  <mergeCells count="3">
    <mergeCell ref="A1:C1"/>
    <mergeCell ref="B4:B5"/>
    <mergeCell ref="A4:A6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opLeftCell="A7" workbookViewId="0">
      <selection sqref="A1:C21"/>
    </sheetView>
  </sheetViews>
  <sheetFormatPr defaultRowHeight="15" x14ac:dyDescent="0.25"/>
  <cols>
    <col min="1" max="1" width="39.42578125" style="10" customWidth="1"/>
    <col min="2" max="2" width="9.28515625" style="10" customWidth="1"/>
    <col min="3" max="3" width="29.5703125" style="10" customWidth="1"/>
  </cols>
  <sheetData>
    <row r="1" spans="1:4" ht="49.5" customHeight="1" x14ac:dyDescent="0.25">
      <c r="A1" s="913" t="s">
        <v>498</v>
      </c>
      <c r="B1" s="913"/>
      <c r="C1" s="913"/>
      <c r="D1" s="709"/>
    </row>
    <row r="2" spans="1:4" ht="19.5" customHeight="1" x14ac:dyDescent="0.25"/>
    <row r="4" spans="1:4" ht="45.75" customHeight="1" x14ac:dyDescent="0.25">
      <c r="A4" s="793" t="s">
        <v>730</v>
      </c>
      <c r="B4" s="791" t="s">
        <v>731</v>
      </c>
      <c r="C4" s="576" t="s">
        <v>751</v>
      </c>
    </row>
    <row r="5" spans="1:4" x14ac:dyDescent="0.25">
      <c r="A5" s="803"/>
      <c r="B5" s="792"/>
      <c r="C5" s="73" t="s">
        <v>668</v>
      </c>
    </row>
    <row r="6" spans="1:4" x14ac:dyDescent="0.25">
      <c r="A6" s="794"/>
      <c r="B6" s="73">
        <v>401926</v>
      </c>
      <c r="C6" s="73">
        <v>401926</v>
      </c>
    </row>
    <row r="7" spans="1:4" ht="20.25" customHeight="1" x14ac:dyDescent="0.25">
      <c r="A7" s="121" t="s">
        <v>678</v>
      </c>
      <c r="B7" s="464">
        <f>B8+B9+B10</f>
        <v>19620</v>
      </c>
      <c r="C7" s="464">
        <f>B7</f>
        <v>19620</v>
      </c>
    </row>
    <row r="8" spans="1:4" ht="64.5" customHeight="1" x14ac:dyDescent="0.25">
      <c r="A8" s="708" t="s">
        <v>675</v>
      </c>
      <c r="B8" s="464">
        <f>654*19</f>
        <v>12426</v>
      </c>
      <c r="C8" s="464">
        <f>B8</f>
        <v>12426</v>
      </c>
    </row>
    <row r="9" spans="1:4" ht="51" customHeight="1" x14ac:dyDescent="0.25">
      <c r="A9" s="708" t="s">
        <v>676</v>
      </c>
      <c r="B9" s="464">
        <f>654*6</f>
        <v>3924</v>
      </c>
      <c r="C9" s="464">
        <f>B9</f>
        <v>3924</v>
      </c>
    </row>
    <row r="10" spans="1:4" ht="42" customHeight="1" x14ac:dyDescent="0.25">
      <c r="A10" s="708" t="s">
        <v>677</v>
      </c>
      <c r="B10" s="464">
        <f>654*5</f>
        <v>3270</v>
      </c>
      <c r="C10" s="464">
        <f>B10</f>
        <v>3270</v>
      </c>
    </row>
    <row r="11" spans="1:4" ht="18.75" customHeight="1" x14ac:dyDescent="0.25">
      <c r="A11" s="460" t="s">
        <v>828</v>
      </c>
      <c r="B11" s="116">
        <f>B7</f>
        <v>19620</v>
      </c>
      <c r="C11" s="116">
        <f>C7</f>
        <v>19620</v>
      </c>
    </row>
    <row r="16" spans="1:4" x14ac:dyDescent="0.25">
      <c r="A16" s="64" t="s">
        <v>824</v>
      </c>
      <c r="B16" s="509"/>
      <c r="C16" s="509" t="s">
        <v>825</v>
      </c>
    </row>
    <row r="17" spans="1:3" x14ac:dyDescent="0.25">
      <c r="A17" s="64"/>
      <c r="B17" s="509"/>
      <c r="C17" s="509"/>
    </row>
    <row r="18" spans="1:3" x14ac:dyDescent="0.25">
      <c r="A18" s="540"/>
      <c r="B18" s="540"/>
      <c r="C18" s="540"/>
    </row>
    <row r="19" spans="1:3" x14ac:dyDescent="0.25">
      <c r="A19" s="64" t="s">
        <v>99</v>
      </c>
      <c r="B19" s="64"/>
      <c r="C19" s="64" t="s">
        <v>897</v>
      </c>
    </row>
  </sheetData>
  <mergeCells count="3">
    <mergeCell ref="A1:C1"/>
    <mergeCell ref="B4:B5"/>
    <mergeCell ref="A4:A6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6"/>
  <sheetViews>
    <sheetView topLeftCell="A93" workbookViewId="0">
      <selection sqref="A1:H101"/>
    </sheetView>
  </sheetViews>
  <sheetFormatPr defaultRowHeight="15" x14ac:dyDescent="0.25"/>
  <cols>
    <col min="1" max="1" width="40.85546875" style="10" customWidth="1"/>
    <col min="2" max="2" width="9.42578125" style="10" customWidth="1"/>
    <col min="3" max="3" width="9.5703125" style="540" customWidth="1"/>
    <col min="4" max="4" width="9.140625" style="540" customWidth="1"/>
    <col min="5" max="7" width="8.42578125" style="540" customWidth="1"/>
    <col min="8" max="8" width="9" style="540" customWidth="1"/>
    <col min="10" max="10" width="15.28515625" customWidth="1"/>
    <col min="11" max="11" width="12.5703125" customWidth="1"/>
    <col min="12" max="12" width="10.42578125" bestFit="1" customWidth="1"/>
    <col min="13" max="13" width="7" customWidth="1"/>
    <col min="14" max="14" width="18.42578125" customWidth="1"/>
  </cols>
  <sheetData>
    <row r="1" spans="1:29" ht="29.25" customHeight="1" x14ac:dyDescent="0.25">
      <c r="A1" s="789" t="s">
        <v>487</v>
      </c>
      <c r="B1" s="789"/>
      <c r="C1" s="789"/>
      <c r="D1" s="789"/>
      <c r="E1" s="789"/>
      <c r="F1" s="789"/>
      <c r="G1" s="789"/>
      <c r="H1" s="789"/>
      <c r="M1" t="s">
        <v>874</v>
      </c>
    </row>
    <row r="2" spans="1:29" x14ac:dyDescent="0.25">
      <c r="B2" s="72"/>
      <c r="C2" s="172"/>
      <c r="D2" s="172"/>
      <c r="E2" s="172"/>
      <c r="F2" s="172"/>
      <c r="M2">
        <v>300</v>
      </c>
      <c r="N2" t="s">
        <v>872</v>
      </c>
      <c r="Q2" t="s">
        <v>829</v>
      </c>
      <c r="R2" t="s">
        <v>830</v>
      </c>
      <c r="S2" t="s">
        <v>831</v>
      </c>
      <c r="T2" t="s">
        <v>832</v>
      </c>
      <c r="U2" t="s">
        <v>833</v>
      </c>
      <c r="V2" t="s">
        <v>834</v>
      </c>
      <c r="W2" t="s">
        <v>835</v>
      </c>
      <c r="X2" t="s">
        <v>849</v>
      </c>
      <c r="Y2" t="s">
        <v>850</v>
      </c>
      <c r="Z2" t="s">
        <v>851</v>
      </c>
      <c r="AA2" t="s">
        <v>852</v>
      </c>
      <c r="AB2" t="s">
        <v>853</v>
      </c>
    </row>
    <row r="3" spans="1:29" x14ac:dyDescent="0.25">
      <c r="M3">
        <f>10</f>
        <v>10</v>
      </c>
      <c r="N3" t="s">
        <v>873</v>
      </c>
      <c r="Q3">
        <v>16</v>
      </c>
      <c r="R3">
        <v>20</v>
      </c>
      <c r="S3">
        <v>21</v>
      </c>
      <c r="T3">
        <v>21</v>
      </c>
      <c r="U3">
        <v>21</v>
      </c>
      <c r="V3">
        <v>20</v>
      </c>
      <c r="W3">
        <v>22</v>
      </c>
      <c r="X3">
        <v>23</v>
      </c>
      <c r="Y3">
        <v>20</v>
      </c>
      <c r="Z3">
        <v>23</v>
      </c>
      <c r="AA3">
        <v>21</v>
      </c>
      <c r="AB3">
        <v>21</v>
      </c>
    </row>
    <row r="4" spans="1:29" ht="39" customHeight="1" x14ac:dyDescent="0.25">
      <c r="A4" s="793" t="s">
        <v>826</v>
      </c>
      <c r="B4" s="793" t="s">
        <v>827</v>
      </c>
      <c r="C4" s="922" t="s">
        <v>898</v>
      </c>
      <c r="D4" s="923"/>
      <c r="E4" s="923"/>
      <c r="F4" s="923"/>
      <c r="G4" s="924"/>
      <c r="H4" s="91" t="s">
        <v>681</v>
      </c>
      <c r="J4" s="96"/>
      <c r="K4" s="96"/>
      <c r="L4" s="97">
        <f>M4*(M2+M3)</f>
        <v>26660</v>
      </c>
      <c r="M4" s="96">
        <f>AC4</f>
        <v>86</v>
      </c>
      <c r="N4" s="96" t="s">
        <v>875</v>
      </c>
      <c r="Q4">
        <v>6</v>
      </c>
      <c r="R4">
        <v>8</v>
      </c>
      <c r="S4">
        <v>8</v>
      </c>
      <c r="T4">
        <v>8</v>
      </c>
      <c r="U4">
        <v>8</v>
      </c>
      <c r="V4">
        <v>8</v>
      </c>
      <c r="W4">
        <v>4</v>
      </c>
      <c r="X4">
        <v>4</v>
      </c>
      <c r="Y4">
        <v>8</v>
      </c>
      <c r="Z4">
        <v>8</v>
      </c>
      <c r="AA4">
        <v>8</v>
      </c>
      <c r="AB4">
        <v>8</v>
      </c>
      <c r="AC4">
        <f>Q4+R4+S4+T4+U4+V4+W4+X4+Y4+Z4+AA4+AB4</f>
        <v>86</v>
      </c>
    </row>
    <row r="5" spans="1:29" ht="13.5" customHeight="1" x14ac:dyDescent="0.25">
      <c r="A5" s="794"/>
      <c r="B5" s="794"/>
      <c r="C5" s="590" t="s">
        <v>877</v>
      </c>
      <c r="D5" s="903" t="s">
        <v>878</v>
      </c>
      <c r="E5" s="904"/>
      <c r="F5" s="904"/>
      <c r="G5" s="905"/>
      <c r="H5" s="93"/>
      <c r="J5" s="96" t="s">
        <v>868</v>
      </c>
      <c r="K5" s="96" t="s">
        <v>869</v>
      </c>
      <c r="L5" s="96" t="s">
        <v>870</v>
      </c>
      <c r="M5" s="98" t="s">
        <v>876</v>
      </c>
      <c r="N5" s="98" t="s">
        <v>871</v>
      </c>
    </row>
    <row r="6" spans="1:29" ht="15" customHeight="1" x14ac:dyDescent="0.25">
      <c r="A6" s="577"/>
      <c r="B6" s="577"/>
      <c r="C6" s="93"/>
      <c r="D6" s="519">
        <v>401102</v>
      </c>
      <c r="E6" s="519">
        <v>401202</v>
      </c>
      <c r="F6" s="73">
        <v>401928</v>
      </c>
      <c r="G6" s="519" t="s">
        <v>854</v>
      </c>
      <c r="H6" s="93"/>
      <c r="J6" s="96"/>
      <c r="K6" s="96"/>
      <c r="L6" s="96"/>
      <c r="M6" s="98"/>
      <c r="N6" s="98"/>
    </row>
    <row r="7" spans="1:29" s="88" customFormat="1" ht="27.2" customHeight="1" x14ac:dyDescent="0.25">
      <c r="A7" s="659" t="s">
        <v>635</v>
      </c>
      <c r="B7" s="156">
        <f t="shared" ref="B7:B20" si="0">C7+G7</f>
        <v>54176.160000000003</v>
      </c>
      <c r="C7" s="84">
        <f>C8</f>
        <v>17878.13</v>
      </c>
      <c r="D7" s="523">
        <f>D8</f>
        <v>29038.42</v>
      </c>
      <c r="E7" s="523">
        <f>E8</f>
        <v>7259.61</v>
      </c>
      <c r="F7" s="523"/>
      <c r="G7" s="523">
        <f>G8</f>
        <v>36298.03</v>
      </c>
      <c r="H7" s="523"/>
      <c r="J7" s="99"/>
      <c r="K7" s="99">
        <v>11</v>
      </c>
      <c r="L7" s="100">
        <f>3315000</f>
        <v>3315000</v>
      </c>
      <c r="M7" s="100">
        <f>L7/L14*100</f>
        <v>96.41</v>
      </c>
      <c r="N7" s="100">
        <f>N14*M7%</f>
        <v>25702.91</v>
      </c>
    </row>
    <row r="8" spans="1:29" s="88" customFormat="1" ht="13.15" customHeight="1" x14ac:dyDescent="0.25">
      <c r="A8" s="516" t="s">
        <v>880</v>
      </c>
      <c r="B8" s="532">
        <f t="shared" si="0"/>
        <v>54176.160000000003</v>
      </c>
      <c r="C8" s="513">
        <f>54176.16*33%</f>
        <v>17878.13</v>
      </c>
      <c r="D8" s="513">
        <f>G8/J19*J17</f>
        <v>29038.42</v>
      </c>
      <c r="E8" s="513">
        <f>G8/J19*J18</f>
        <v>7259.61</v>
      </c>
      <c r="F8" s="513"/>
      <c r="G8" s="513">
        <f>54176.16*67%</f>
        <v>36298.03</v>
      </c>
      <c r="H8" s="513"/>
      <c r="J8" s="99"/>
      <c r="K8" s="99">
        <v>14</v>
      </c>
      <c r="L8" s="100">
        <f>'221 ОБЩАЯ'!I11</f>
        <v>116585.8</v>
      </c>
      <c r="M8" s="100">
        <f>L8/L14*100</f>
        <v>3.39</v>
      </c>
      <c r="N8" s="100">
        <f>N14*M8%</f>
        <v>903.77</v>
      </c>
    </row>
    <row r="9" spans="1:29" s="88" customFormat="1" ht="39.75" customHeight="1" x14ac:dyDescent="0.25">
      <c r="A9" s="659" t="s">
        <v>634</v>
      </c>
      <c r="B9" s="156">
        <f t="shared" si="0"/>
        <v>52040</v>
      </c>
      <c r="C9" s="84">
        <f>C14</f>
        <v>22655.25</v>
      </c>
      <c r="D9" s="84">
        <f>D14</f>
        <v>23507.8</v>
      </c>
      <c r="E9" s="84">
        <f>E14</f>
        <v>5876.95</v>
      </c>
      <c r="F9" s="84"/>
      <c r="G9" s="84">
        <f>G14</f>
        <v>29384.75</v>
      </c>
      <c r="H9" s="84"/>
      <c r="J9" s="99"/>
      <c r="K9" s="99">
        <v>17</v>
      </c>
      <c r="L9" s="100">
        <f>'221 ОБЩАЯ'!I12</f>
        <v>7000</v>
      </c>
      <c r="M9" s="100">
        <f>L9/L14*100</f>
        <v>0.2</v>
      </c>
      <c r="N9" s="100">
        <f>N14*M9%</f>
        <v>53.32</v>
      </c>
    </row>
    <row r="10" spans="1:29" s="88" customFormat="1" ht="15" customHeight="1" x14ac:dyDescent="0.25">
      <c r="A10" s="541" t="s">
        <v>839</v>
      </c>
      <c r="B10" s="532">
        <f t="shared" si="0"/>
        <v>15585</v>
      </c>
      <c r="C10" s="513">
        <v>15585</v>
      </c>
      <c r="D10" s="513"/>
      <c r="E10" s="513"/>
      <c r="F10" s="513"/>
      <c r="G10" s="513"/>
      <c r="H10" s="84"/>
      <c r="J10" s="99"/>
      <c r="K10" s="99"/>
      <c r="L10" s="100"/>
      <c r="M10" s="100"/>
      <c r="N10" s="100"/>
    </row>
    <row r="11" spans="1:29" s="88" customFormat="1" ht="15.75" customHeight="1" x14ac:dyDescent="0.25">
      <c r="A11" s="541" t="s">
        <v>838</v>
      </c>
      <c r="B11" s="532">
        <f t="shared" si="0"/>
        <v>6000</v>
      </c>
      <c r="C11" s="513">
        <f>6000*33%</f>
        <v>1980</v>
      </c>
      <c r="D11" s="513">
        <f>G11/J19*J17</f>
        <v>3216</v>
      </c>
      <c r="E11" s="513">
        <f>G11/J19*J18</f>
        <v>804</v>
      </c>
      <c r="F11" s="513"/>
      <c r="G11" s="513">
        <f>6000*67%</f>
        <v>4020</v>
      </c>
      <c r="H11" s="84"/>
      <c r="J11" s="99"/>
      <c r="K11" s="99"/>
      <c r="L11" s="100"/>
      <c r="M11" s="100"/>
      <c r="N11" s="100"/>
    </row>
    <row r="12" spans="1:29" s="88" customFormat="1" ht="16.350000000000001" customHeight="1" x14ac:dyDescent="0.25">
      <c r="A12" s="541" t="s">
        <v>841</v>
      </c>
      <c r="B12" s="532">
        <f t="shared" si="0"/>
        <v>15030</v>
      </c>
      <c r="C12" s="513"/>
      <c r="D12" s="513">
        <f>G12/J19*J17</f>
        <v>12024</v>
      </c>
      <c r="E12" s="513">
        <f>G12/J19*J18</f>
        <v>3006</v>
      </c>
      <c r="F12" s="513"/>
      <c r="G12" s="513">
        <f>15030</f>
        <v>15030</v>
      </c>
      <c r="H12" s="84"/>
      <c r="J12" s="99"/>
      <c r="K12" s="99"/>
      <c r="L12" s="100"/>
      <c r="M12" s="100"/>
      <c r="N12" s="100"/>
    </row>
    <row r="13" spans="1:29" s="88" customFormat="1" ht="14.25" customHeight="1" x14ac:dyDescent="0.25">
      <c r="A13" s="541" t="s">
        <v>840</v>
      </c>
      <c r="B13" s="532">
        <f t="shared" si="0"/>
        <v>15425</v>
      </c>
      <c r="C13" s="513">
        <f>(5*325+2*5*1380)*33%</f>
        <v>5090.25</v>
      </c>
      <c r="D13" s="513">
        <f>G13/J19*J17</f>
        <v>8267.7999999999993</v>
      </c>
      <c r="E13" s="513">
        <f>G13/J19*J18</f>
        <v>2066.9499999999998</v>
      </c>
      <c r="F13" s="513"/>
      <c r="G13" s="513">
        <f>(5*325+2*5*1380)*67%</f>
        <v>10334.75</v>
      </c>
      <c r="H13" s="84"/>
      <c r="I13" s="128"/>
      <c r="J13" s="99"/>
      <c r="K13" s="99"/>
      <c r="L13" s="100"/>
      <c r="M13" s="100"/>
      <c r="N13" s="100"/>
    </row>
    <row r="14" spans="1:29" s="88" customFormat="1" ht="16.7" customHeight="1" x14ac:dyDescent="0.25">
      <c r="A14" s="516" t="s">
        <v>880</v>
      </c>
      <c r="B14" s="529">
        <f t="shared" si="0"/>
        <v>52040</v>
      </c>
      <c r="C14" s="530">
        <f>C10+C11+C13</f>
        <v>22655.25</v>
      </c>
      <c r="D14" s="530">
        <f>D10+D11+D12+D13</f>
        <v>23507.8</v>
      </c>
      <c r="E14" s="530">
        <f>E10+E11+E12+E13</f>
        <v>5876.95</v>
      </c>
      <c r="F14" s="530"/>
      <c r="G14" s="530">
        <f>G10+G11+G12+G13</f>
        <v>29384.75</v>
      </c>
      <c r="H14" s="114"/>
      <c r="J14" s="99"/>
      <c r="K14" s="99"/>
      <c r="L14" s="100">
        <f>L7+L8+L9</f>
        <v>3438585.8</v>
      </c>
      <c r="M14" s="100"/>
      <c r="N14" s="100">
        <f>L4</f>
        <v>26660</v>
      </c>
    </row>
    <row r="15" spans="1:29" s="88" customFormat="1" ht="26.25" customHeight="1" x14ac:dyDescent="0.25">
      <c r="A15" s="156" t="s">
        <v>488</v>
      </c>
      <c r="B15" s="528">
        <f t="shared" si="0"/>
        <v>0</v>
      </c>
      <c r="C15" s="84">
        <f>C16</f>
        <v>0</v>
      </c>
      <c r="D15" s="84"/>
      <c r="E15" s="84"/>
      <c r="F15" s="84"/>
      <c r="G15" s="84">
        <f>G16+G17+G19</f>
        <v>0</v>
      </c>
      <c r="H15" s="84">
        <f>H16+H17+H19</f>
        <v>70000</v>
      </c>
    </row>
    <row r="16" spans="1:29" s="88" customFormat="1" ht="15" customHeight="1" x14ac:dyDescent="0.25">
      <c r="A16" s="516" t="s">
        <v>880</v>
      </c>
      <c r="B16" s="527">
        <f t="shared" si="0"/>
        <v>0</v>
      </c>
      <c r="C16" s="114">
        <v>0</v>
      </c>
      <c r="D16" s="114"/>
      <c r="E16" s="114"/>
      <c r="F16" s="114"/>
      <c r="G16" s="114">
        <v>0</v>
      </c>
      <c r="H16" s="114">
        <v>70000</v>
      </c>
      <c r="J16" s="128"/>
    </row>
    <row r="17" spans="1:14" s="88" customFormat="1" ht="15.75" customHeight="1" x14ac:dyDescent="0.25">
      <c r="A17" s="660" t="s">
        <v>720</v>
      </c>
      <c r="B17" s="116">
        <f t="shared" si="0"/>
        <v>17000</v>
      </c>
      <c r="C17" s="119">
        <f>C18</f>
        <v>17000</v>
      </c>
      <c r="D17" s="119"/>
      <c r="E17" s="119"/>
      <c r="F17" s="119"/>
      <c r="G17" s="119">
        <f>G18</f>
        <v>0</v>
      </c>
      <c r="H17" s="114"/>
      <c r="J17">
        <v>80</v>
      </c>
      <c r="K17" t="s">
        <v>4</v>
      </c>
    </row>
    <row r="18" spans="1:14" s="88" customFormat="1" ht="15" customHeight="1" x14ac:dyDescent="0.25">
      <c r="A18" s="516" t="s">
        <v>880</v>
      </c>
      <c r="B18" s="529">
        <f t="shared" si="0"/>
        <v>17000</v>
      </c>
      <c r="C18" s="530">
        <v>17000</v>
      </c>
      <c r="D18" s="530"/>
      <c r="E18" s="530"/>
      <c r="F18" s="530"/>
      <c r="G18" s="530">
        <v>0</v>
      </c>
      <c r="H18" s="530"/>
      <c r="J18">
        <v>20</v>
      </c>
      <c r="K18" t="s">
        <v>5</v>
      </c>
    </row>
    <row r="19" spans="1:14" s="88" customFormat="1" ht="15" customHeight="1" x14ac:dyDescent="0.25">
      <c r="A19" s="660" t="s">
        <v>570</v>
      </c>
      <c r="B19" s="116">
        <f t="shared" si="0"/>
        <v>8117.11</v>
      </c>
      <c r="C19" s="119">
        <v>8117.11</v>
      </c>
      <c r="D19" s="119"/>
      <c r="E19" s="119"/>
      <c r="F19" s="119"/>
      <c r="G19" s="84">
        <v>0</v>
      </c>
      <c r="H19" s="531"/>
      <c r="J19">
        <f>J17+J18</f>
        <v>100</v>
      </c>
      <c r="K19"/>
    </row>
    <row r="20" spans="1:14" s="88" customFormat="1" ht="41.45" customHeight="1" x14ac:dyDescent="0.25">
      <c r="A20" s="659" t="s">
        <v>700</v>
      </c>
      <c r="B20" s="116">
        <f t="shared" si="0"/>
        <v>163000</v>
      </c>
      <c r="C20" s="84">
        <f>C21</f>
        <v>163000</v>
      </c>
      <c r="D20" s="84"/>
      <c r="E20" s="84"/>
      <c r="F20" s="84"/>
      <c r="G20" s="84">
        <f>G21</f>
        <v>0</v>
      </c>
      <c r="H20" s="84"/>
      <c r="I20" s="128">
        <f>7300*67%</f>
        <v>4891</v>
      </c>
      <c r="J20" s="128">
        <f>I20*J17%</f>
        <v>3912.8</v>
      </c>
      <c r="K20" s="128">
        <f>I20*J18%</f>
        <v>978.2</v>
      </c>
    </row>
    <row r="21" spans="1:14" s="88" customFormat="1" ht="13.15" customHeight="1" x14ac:dyDescent="0.25">
      <c r="A21" s="516" t="s">
        <v>880</v>
      </c>
      <c r="B21" s="518">
        <f>C21+G21+H21</f>
        <v>163000</v>
      </c>
      <c r="C21" s="542">
        <f>163000</f>
        <v>163000</v>
      </c>
      <c r="D21" s="542"/>
      <c r="E21" s="542"/>
      <c r="F21" s="542"/>
      <c r="G21" s="542">
        <v>0</v>
      </c>
      <c r="H21" s="542"/>
      <c r="I21" s="128">
        <f>7300*33%</f>
        <v>2409</v>
      </c>
      <c r="J21" s="128"/>
    </row>
    <row r="22" spans="1:14" s="88" customFormat="1" ht="13.15" customHeight="1" x14ac:dyDescent="0.25">
      <c r="A22" s="416" t="s">
        <v>633</v>
      </c>
      <c r="B22" s="116">
        <f t="shared" ref="B22:B68" si="1">C22+G22</f>
        <v>19854.099999999999</v>
      </c>
      <c r="C22" s="84">
        <f>C23</f>
        <v>19854.099999999999</v>
      </c>
      <c r="D22" s="84"/>
      <c r="E22" s="84"/>
      <c r="F22" s="84"/>
      <c r="G22" s="84">
        <v>0</v>
      </c>
      <c r="H22" s="543"/>
    </row>
    <row r="23" spans="1:14" s="88" customFormat="1" ht="15.75" customHeight="1" x14ac:dyDescent="0.25">
      <c r="A23" s="516" t="s">
        <v>701</v>
      </c>
      <c r="B23" s="529">
        <f t="shared" si="1"/>
        <v>19854.099999999999</v>
      </c>
      <c r="C23" s="542">
        <v>19854.099999999999</v>
      </c>
      <c r="D23" s="542"/>
      <c r="E23" s="542"/>
      <c r="F23" s="542"/>
      <c r="G23" s="542">
        <v>0</v>
      </c>
      <c r="H23" s="542"/>
      <c r="J23" s="128"/>
    </row>
    <row r="24" spans="1:14" s="88" customFormat="1" ht="39" customHeight="1" x14ac:dyDescent="0.25">
      <c r="A24" s="83" t="s">
        <v>632</v>
      </c>
      <c r="B24" s="116">
        <f t="shared" si="1"/>
        <v>7000</v>
      </c>
      <c r="C24" s="84">
        <f>C25</f>
        <v>7000</v>
      </c>
      <c r="D24" s="84"/>
      <c r="E24" s="84"/>
      <c r="F24" s="84"/>
      <c r="G24" s="84">
        <f>G25</f>
        <v>0</v>
      </c>
      <c r="H24" s="84"/>
    </row>
    <row r="25" spans="1:14" s="88" customFormat="1" ht="13.15" customHeight="1" x14ac:dyDescent="0.25">
      <c r="A25" s="516" t="s">
        <v>880</v>
      </c>
      <c r="B25" s="518">
        <f t="shared" si="1"/>
        <v>7000</v>
      </c>
      <c r="C25" s="513">
        <v>7000</v>
      </c>
      <c r="D25" s="513"/>
      <c r="E25" s="513"/>
      <c r="F25" s="513"/>
      <c r="G25" s="513">
        <v>0</v>
      </c>
      <c r="H25" s="513"/>
    </row>
    <row r="26" spans="1:14" ht="26.25" x14ac:dyDescent="0.25">
      <c r="A26" s="416" t="s">
        <v>631</v>
      </c>
      <c r="B26" s="116">
        <f t="shared" si="1"/>
        <v>134750</v>
      </c>
      <c r="C26" s="84">
        <f>C27+C28</f>
        <v>134750</v>
      </c>
      <c r="D26" s="84"/>
      <c r="E26" s="84"/>
      <c r="F26" s="84"/>
      <c r="G26" s="84">
        <v>0</v>
      </c>
      <c r="H26" s="544"/>
    </row>
    <row r="27" spans="1:14" x14ac:dyDescent="0.25">
      <c r="A27" s="516" t="s">
        <v>880</v>
      </c>
      <c r="B27" s="529">
        <f t="shared" si="1"/>
        <v>69299.990000000005</v>
      </c>
      <c r="C27" s="542">
        <v>69299.990000000005</v>
      </c>
      <c r="D27" s="542"/>
      <c r="E27" s="542"/>
      <c r="F27" s="542"/>
      <c r="G27" s="545"/>
      <c r="H27" s="545"/>
    </row>
    <row r="28" spans="1:14" x14ac:dyDescent="0.25">
      <c r="A28" s="516" t="s">
        <v>889</v>
      </c>
      <c r="B28" s="529">
        <f t="shared" si="1"/>
        <v>65450.01</v>
      </c>
      <c r="C28" s="546">
        <v>65450.01</v>
      </c>
      <c r="D28" s="546"/>
      <c r="E28" s="546"/>
      <c r="F28" s="546"/>
      <c r="G28" s="545"/>
      <c r="H28" s="545"/>
      <c r="I28" s="921" t="s">
        <v>857</v>
      </c>
      <c r="J28" s="921"/>
      <c r="K28" s="921"/>
      <c r="L28" s="921"/>
    </row>
    <row r="29" spans="1:14" ht="26.45" customHeight="1" x14ac:dyDescent="0.25">
      <c r="A29" s="659" t="s">
        <v>755</v>
      </c>
      <c r="B29" s="116">
        <f t="shared" si="1"/>
        <v>50000</v>
      </c>
      <c r="C29" s="84">
        <f>C30</f>
        <v>50000</v>
      </c>
      <c r="D29" s="84"/>
      <c r="E29" s="84"/>
      <c r="F29" s="84"/>
      <c r="G29" s="84">
        <f>G30</f>
        <v>0</v>
      </c>
      <c r="H29" s="84"/>
      <c r="I29" s="918" t="s">
        <v>857</v>
      </c>
      <c r="J29" s="919"/>
      <c r="K29" s="919"/>
      <c r="L29" s="919"/>
      <c r="M29" s="919"/>
      <c r="N29" s="920" t="s">
        <v>859</v>
      </c>
    </row>
    <row r="30" spans="1:14" ht="18" customHeight="1" x14ac:dyDescent="0.25">
      <c r="A30" s="516" t="s">
        <v>880</v>
      </c>
      <c r="B30" s="518">
        <f t="shared" si="1"/>
        <v>50000</v>
      </c>
      <c r="C30" s="542">
        <f>50000</f>
        <v>50000</v>
      </c>
      <c r="D30" s="542"/>
      <c r="E30" s="542"/>
      <c r="F30" s="542"/>
      <c r="G30" s="542"/>
      <c r="H30" s="542"/>
      <c r="I30" s="503" t="s">
        <v>671</v>
      </c>
      <c r="J30" s="101" t="s">
        <v>856</v>
      </c>
      <c r="K30" s="101"/>
      <c r="L30" s="101"/>
      <c r="M30" s="71"/>
      <c r="N30" s="920"/>
    </row>
    <row r="31" spans="1:14" x14ac:dyDescent="0.25">
      <c r="A31" s="658" t="s">
        <v>702</v>
      </c>
      <c r="B31" s="116">
        <f t="shared" si="1"/>
        <v>8000</v>
      </c>
      <c r="C31" s="547">
        <f>C32</f>
        <v>8000</v>
      </c>
      <c r="D31" s="547"/>
      <c r="E31" s="547"/>
      <c r="F31" s="547"/>
      <c r="G31" s="84">
        <v>0</v>
      </c>
      <c r="H31" s="525"/>
      <c r="I31" s="503" t="s">
        <v>855</v>
      </c>
      <c r="J31" s="101">
        <v>11</v>
      </c>
      <c r="K31" s="101">
        <v>2</v>
      </c>
      <c r="L31" s="101" t="s">
        <v>854</v>
      </c>
      <c r="M31" s="105" t="s">
        <v>858</v>
      </c>
      <c r="N31" s="71"/>
    </row>
    <row r="32" spans="1:14" x14ac:dyDescent="0.25">
      <c r="A32" s="516" t="s">
        <v>880</v>
      </c>
      <c r="B32" s="518">
        <f t="shared" si="1"/>
        <v>8000</v>
      </c>
      <c r="C32" s="542">
        <v>8000</v>
      </c>
      <c r="D32" s="542"/>
      <c r="E32" s="542"/>
      <c r="F32" s="542"/>
      <c r="G32" s="525"/>
      <c r="H32" s="525"/>
      <c r="I32" s="503">
        <v>10</v>
      </c>
      <c r="J32" s="101"/>
      <c r="K32" s="101">
        <v>669.98</v>
      </c>
      <c r="L32" s="101">
        <v>669.98</v>
      </c>
      <c r="M32" s="78">
        <f>L32/$L$45*100</f>
        <v>2.06</v>
      </c>
      <c r="N32" s="85">
        <f t="shared" ref="N32:N37" si="2">$N$45*M32%</f>
        <v>549.20000000000005</v>
      </c>
    </row>
    <row r="33" spans="1:14" x14ac:dyDescent="0.25">
      <c r="A33" s="658" t="s">
        <v>703</v>
      </c>
      <c r="B33" s="116">
        <f t="shared" si="1"/>
        <v>10637.5</v>
      </c>
      <c r="C33" s="547">
        <f>C34</f>
        <v>10637.5</v>
      </c>
      <c r="D33" s="547"/>
      <c r="E33" s="547"/>
      <c r="F33" s="547"/>
      <c r="G33" s="84">
        <v>0</v>
      </c>
      <c r="H33" s="525"/>
      <c r="I33" s="503">
        <v>11</v>
      </c>
      <c r="J33" s="101"/>
      <c r="K33" s="102">
        <v>21589.919999999998</v>
      </c>
      <c r="L33" s="102">
        <v>21589.919999999998</v>
      </c>
      <c r="M33" s="78">
        <f>L33/$L$45*100</f>
        <v>66.290000000000006</v>
      </c>
      <c r="N33" s="85">
        <f t="shared" si="2"/>
        <v>17672.91</v>
      </c>
    </row>
    <row r="34" spans="1:14" x14ac:dyDescent="0.25">
      <c r="A34" s="516" t="s">
        <v>880</v>
      </c>
      <c r="B34" s="518">
        <f t="shared" si="1"/>
        <v>10637.5</v>
      </c>
      <c r="C34" s="542">
        <v>10637.5</v>
      </c>
      <c r="D34" s="542"/>
      <c r="E34" s="542"/>
      <c r="F34" s="542"/>
      <c r="G34" s="525"/>
      <c r="H34" s="525"/>
      <c r="I34" s="503">
        <v>7</v>
      </c>
      <c r="J34" s="101"/>
      <c r="K34" s="101">
        <v>1416.69</v>
      </c>
      <c r="L34" s="101">
        <v>1416.69</v>
      </c>
      <c r="M34" s="78">
        <f>L34/$L$45*100-0.01</f>
        <v>4.34</v>
      </c>
      <c r="N34" s="85">
        <f t="shared" si="2"/>
        <v>1157.04</v>
      </c>
    </row>
    <row r="35" spans="1:14" x14ac:dyDescent="0.25">
      <c r="A35" s="658" t="s">
        <v>704</v>
      </c>
      <c r="B35" s="116">
        <f t="shared" si="1"/>
        <v>2000</v>
      </c>
      <c r="C35" s="84">
        <f>C36</f>
        <v>2000</v>
      </c>
      <c r="D35" s="84"/>
      <c r="E35" s="84"/>
      <c r="F35" s="84"/>
      <c r="G35" s="84">
        <v>0</v>
      </c>
      <c r="H35" s="525"/>
      <c r="I35" s="503">
        <v>12</v>
      </c>
      <c r="J35" s="101"/>
      <c r="K35" s="101">
        <v>769.35</v>
      </c>
      <c r="L35" s="101">
        <v>769.35</v>
      </c>
      <c r="M35" s="78">
        <f>L35/$L$45*100</f>
        <v>2.36</v>
      </c>
      <c r="N35" s="85">
        <f t="shared" si="2"/>
        <v>629.17999999999995</v>
      </c>
    </row>
    <row r="36" spans="1:14" x14ac:dyDescent="0.25">
      <c r="A36" s="516" t="s">
        <v>880</v>
      </c>
      <c r="B36" s="518">
        <f t="shared" si="1"/>
        <v>2000</v>
      </c>
      <c r="C36" s="542">
        <v>2000</v>
      </c>
      <c r="D36" s="542"/>
      <c r="E36" s="542"/>
      <c r="F36" s="542"/>
      <c r="G36" s="525"/>
      <c r="H36" s="525"/>
      <c r="I36" s="503">
        <v>13</v>
      </c>
      <c r="J36" s="101">
        <v>1539.67</v>
      </c>
      <c r="K36" s="101"/>
      <c r="L36" s="101">
        <v>1539.67</v>
      </c>
      <c r="M36" s="78">
        <f>L36/$L$45*100</f>
        <v>4.7300000000000004</v>
      </c>
      <c r="N36" s="85">
        <f t="shared" si="2"/>
        <v>1261.02</v>
      </c>
    </row>
    <row r="37" spans="1:14" x14ac:dyDescent="0.25">
      <c r="A37" s="658" t="s">
        <v>705</v>
      </c>
      <c r="B37" s="116">
        <f t="shared" si="1"/>
        <v>1000</v>
      </c>
      <c r="C37" s="84">
        <f>C38</f>
        <v>1000</v>
      </c>
      <c r="D37" s="84"/>
      <c r="E37" s="84"/>
      <c r="F37" s="84"/>
      <c r="G37" s="84">
        <v>0</v>
      </c>
      <c r="H37" s="525"/>
      <c r="I37" s="503">
        <v>14</v>
      </c>
      <c r="J37" s="101"/>
      <c r="K37" s="101">
        <v>884.5</v>
      </c>
      <c r="L37" s="101">
        <v>884.5</v>
      </c>
      <c r="M37" s="78">
        <f>L37/$L$45*100</f>
        <v>2.72</v>
      </c>
      <c r="N37" s="85">
        <f t="shared" si="2"/>
        <v>725.15</v>
      </c>
    </row>
    <row r="38" spans="1:14" x14ac:dyDescent="0.25">
      <c r="A38" s="516" t="s">
        <v>880</v>
      </c>
      <c r="B38" s="518">
        <f t="shared" si="1"/>
        <v>1000</v>
      </c>
      <c r="C38" s="542">
        <v>1000</v>
      </c>
      <c r="D38" s="542"/>
      <c r="E38" s="542"/>
      <c r="F38" s="542"/>
      <c r="G38" s="525"/>
      <c r="H38" s="525"/>
      <c r="I38" s="503">
        <v>15</v>
      </c>
      <c r="J38" s="101"/>
      <c r="K38" s="101">
        <v>2487.5100000000002</v>
      </c>
      <c r="L38" s="101">
        <v>2487.5100000000002</v>
      </c>
      <c r="M38" s="78">
        <f>L38/$L$45*100</f>
        <v>7.64</v>
      </c>
      <c r="N38" s="85">
        <f>$N$45*M38%-0.4</f>
        <v>2036.42</v>
      </c>
    </row>
    <row r="39" spans="1:14" x14ac:dyDescent="0.25">
      <c r="A39" s="416" t="s">
        <v>706</v>
      </c>
      <c r="B39" s="116">
        <f t="shared" si="1"/>
        <v>203113.41</v>
      </c>
      <c r="C39" s="84">
        <f>C40+C41+C42+C43+C44</f>
        <v>203113.41</v>
      </c>
      <c r="D39" s="84"/>
      <c r="E39" s="84"/>
      <c r="F39" s="84"/>
      <c r="G39" s="84">
        <v>0</v>
      </c>
      <c r="H39" s="525"/>
      <c r="I39" s="503">
        <v>16</v>
      </c>
      <c r="J39" s="101"/>
      <c r="K39" s="101">
        <v>202.09</v>
      </c>
      <c r="L39" s="101">
        <v>202.09</v>
      </c>
      <c r="M39" s="78">
        <f>L39/$L$45*100</f>
        <v>0.62</v>
      </c>
      <c r="N39" s="85">
        <f>$N$45*M39%</f>
        <v>165.29</v>
      </c>
    </row>
    <row r="40" spans="1:14" ht="11.85" customHeight="1" x14ac:dyDescent="0.25">
      <c r="A40" s="516" t="s">
        <v>889</v>
      </c>
      <c r="B40" s="518">
        <f t="shared" si="1"/>
        <v>40000</v>
      </c>
      <c r="C40" s="542">
        <v>40000</v>
      </c>
      <c r="D40" s="542"/>
      <c r="E40" s="542"/>
      <c r="F40" s="542"/>
      <c r="G40" s="525"/>
      <c r="H40" s="525"/>
      <c r="I40" s="503">
        <v>17</v>
      </c>
      <c r="J40" s="101"/>
      <c r="K40" s="101">
        <v>57.15</v>
      </c>
      <c r="L40" s="101">
        <v>57.15</v>
      </c>
      <c r="M40" s="78">
        <f>L40/$L$45*100-0.01</f>
        <v>0.17</v>
      </c>
      <c r="N40" s="85">
        <f>$N$45*M40%</f>
        <v>45.32</v>
      </c>
    </row>
    <row r="41" spans="1:14" ht="11.85" customHeight="1" x14ac:dyDescent="0.25">
      <c r="A41" s="516" t="s">
        <v>883</v>
      </c>
      <c r="B41" s="518">
        <f t="shared" si="1"/>
        <v>25510.93</v>
      </c>
      <c r="C41" s="542">
        <f>20000+10510.93-5000</f>
        <v>25510.93</v>
      </c>
      <c r="D41" s="542"/>
      <c r="E41" s="542"/>
      <c r="F41" s="542"/>
      <c r="G41" s="525"/>
      <c r="H41" s="525"/>
      <c r="I41" s="503">
        <v>18</v>
      </c>
      <c r="J41" s="101"/>
      <c r="K41" s="101">
        <v>146.04</v>
      </c>
      <c r="L41" s="101">
        <v>146.04</v>
      </c>
      <c r="M41" s="78">
        <f>L41/$L$45*100</f>
        <v>0.45</v>
      </c>
      <c r="N41" s="85">
        <f>$N$45*M41%</f>
        <v>119.97</v>
      </c>
    </row>
    <row r="42" spans="1:14" ht="11.85" customHeight="1" x14ac:dyDescent="0.25">
      <c r="A42" s="516" t="s">
        <v>884</v>
      </c>
      <c r="B42" s="518">
        <f t="shared" si="1"/>
        <v>60000</v>
      </c>
      <c r="C42" s="542">
        <v>60000</v>
      </c>
      <c r="D42" s="542"/>
      <c r="E42" s="542"/>
      <c r="F42" s="542"/>
      <c r="G42" s="525"/>
      <c r="H42" s="525"/>
      <c r="I42" s="503">
        <v>5</v>
      </c>
      <c r="J42" s="101"/>
      <c r="K42" s="101">
        <v>533.41999999999996</v>
      </c>
      <c r="L42" s="101">
        <v>533.41999999999996</v>
      </c>
      <c r="M42" s="78">
        <f>L42/$L$45*100</f>
        <v>1.64</v>
      </c>
      <c r="N42" s="85">
        <f>$N$45*M42%</f>
        <v>437.22</v>
      </c>
    </row>
    <row r="43" spans="1:14" ht="11.85" customHeight="1" x14ac:dyDescent="0.25">
      <c r="A43" s="516" t="s">
        <v>880</v>
      </c>
      <c r="B43" s="518">
        <f t="shared" si="1"/>
        <v>75102.48</v>
      </c>
      <c r="C43" s="542">
        <f>45102.48+30000</f>
        <v>75102.48</v>
      </c>
      <c r="D43" s="542"/>
      <c r="E43" s="542"/>
      <c r="F43" s="542"/>
      <c r="G43" s="525"/>
      <c r="H43" s="525"/>
      <c r="I43" s="503">
        <v>8</v>
      </c>
      <c r="J43" s="101"/>
      <c r="K43" s="101">
        <v>2274.3000000000002</v>
      </c>
      <c r="L43" s="101">
        <v>2274.3000000000002</v>
      </c>
      <c r="M43" s="78">
        <f>L43/$L$45*100</f>
        <v>6.98</v>
      </c>
      <c r="N43" s="85">
        <f>$N$45*M43%</f>
        <v>1860.87</v>
      </c>
    </row>
    <row r="44" spans="1:14" ht="11.85" customHeight="1" x14ac:dyDescent="0.25">
      <c r="A44" s="516" t="s">
        <v>882</v>
      </c>
      <c r="B44" s="518">
        <f t="shared" si="1"/>
        <v>2500</v>
      </c>
      <c r="C44" s="542">
        <v>2500</v>
      </c>
      <c r="D44" s="542"/>
      <c r="E44" s="542"/>
      <c r="F44" s="542"/>
      <c r="G44" s="525"/>
      <c r="H44" s="525"/>
      <c r="I44" s="503"/>
      <c r="J44" s="101"/>
      <c r="K44" s="101"/>
      <c r="L44" s="101"/>
      <c r="M44" s="78"/>
      <c r="N44" s="85"/>
    </row>
    <row r="45" spans="1:14" x14ac:dyDescent="0.25">
      <c r="A45" s="416" t="s">
        <v>707</v>
      </c>
      <c r="B45" s="116">
        <f t="shared" si="1"/>
        <v>10000</v>
      </c>
      <c r="C45" s="84">
        <f>C46</f>
        <v>10000</v>
      </c>
      <c r="D45" s="84"/>
      <c r="E45" s="84"/>
      <c r="F45" s="84"/>
      <c r="G45" s="84">
        <v>0</v>
      </c>
      <c r="H45" s="525"/>
      <c r="I45" s="503" t="s">
        <v>854</v>
      </c>
      <c r="J45" s="101">
        <v>1539.67</v>
      </c>
      <c r="K45" s="103">
        <v>31030.95</v>
      </c>
      <c r="L45" s="104">
        <v>32570.62</v>
      </c>
      <c r="M45" s="106">
        <f>SUM(M32:M43)</f>
        <v>100</v>
      </c>
      <c r="N45" s="107">
        <f>N14</f>
        <v>26660</v>
      </c>
    </row>
    <row r="46" spans="1:14" x14ac:dyDescent="0.25">
      <c r="A46" s="516" t="s">
        <v>880</v>
      </c>
      <c r="B46" s="518">
        <f t="shared" si="1"/>
        <v>10000</v>
      </c>
      <c r="C46" s="542">
        <v>10000</v>
      </c>
      <c r="D46" s="542"/>
      <c r="E46" s="542"/>
      <c r="F46" s="542"/>
      <c r="G46" s="525"/>
      <c r="H46" s="525"/>
    </row>
    <row r="47" spans="1:14" ht="27.75" customHeight="1" x14ac:dyDescent="0.25">
      <c r="A47" s="416" t="s">
        <v>630</v>
      </c>
      <c r="B47" s="116">
        <f t="shared" si="1"/>
        <v>26660.66</v>
      </c>
      <c r="C47" s="84">
        <f>C48+C49+C50+C51+C52+C53+C54+C55+C56+C57</f>
        <v>26660.66</v>
      </c>
      <c r="D47" s="84"/>
      <c r="E47" s="84"/>
      <c r="F47" s="84"/>
      <c r="G47" s="84">
        <f>G48+G49+G50+G51+G52+G53+G54+G55+G56+G57</f>
        <v>0</v>
      </c>
      <c r="H47" s="548"/>
    </row>
    <row r="48" spans="1:14" ht="11.85" customHeight="1" x14ac:dyDescent="0.25">
      <c r="A48" s="516" t="s">
        <v>880</v>
      </c>
      <c r="B48" s="518">
        <f t="shared" si="1"/>
        <v>2155.2399999999998</v>
      </c>
      <c r="C48" s="542">
        <v>2155.2399999999998</v>
      </c>
      <c r="D48" s="542"/>
      <c r="E48" s="542"/>
      <c r="F48" s="542"/>
      <c r="G48" s="525"/>
      <c r="H48" s="525"/>
    </row>
    <row r="49" spans="1:11" ht="11.85" customHeight="1" x14ac:dyDescent="0.25">
      <c r="A49" s="516" t="s">
        <v>701</v>
      </c>
      <c r="B49" s="518">
        <f t="shared" si="1"/>
        <v>1261.02</v>
      </c>
      <c r="C49" s="542">
        <f>N36</f>
        <v>1261.02</v>
      </c>
      <c r="D49" s="542"/>
      <c r="E49" s="542"/>
      <c r="F49" s="542"/>
      <c r="G49" s="525"/>
      <c r="H49" s="525"/>
      <c r="K49" s="76"/>
    </row>
    <row r="50" spans="1:11" ht="11.85" customHeight="1" x14ac:dyDescent="0.25">
      <c r="A50" s="516" t="s">
        <v>882</v>
      </c>
      <c r="B50" s="518">
        <f t="shared" si="1"/>
        <v>18831.580000000002</v>
      </c>
      <c r="C50" s="542">
        <v>18831.580000000002</v>
      </c>
      <c r="D50" s="542"/>
      <c r="E50" s="542"/>
      <c r="F50" s="542"/>
      <c r="G50" s="525"/>
      <c r="H50" s="525"/>
    </row>
    <row r="51" spans="1:11" ht="11.85" customHeight="1" x14ac:dyDescent="0.25">
      <c r="A51" s="516" t="s">
        <v>886</v>
      </c>
      <c r="B51" s="518">
        <f t="shared" si="1"/>
        <v>46.78</v>
      </c>
      <c r="C51" s="542">
        <v>46.78</v>
      </c>
      <c r="D51" s="542"/>
      <c r="E51" s="542"/>
      <c r="F51" s="542"/>
      <c r="G51" s="525"/>
      <c r="H51" s="525"/>
    </row>
    <row r="52" spans="1:11" ht="11.85" customHeight="1" x14ac:dyDescent="0.25">
      <c r="A52" s="516" t="s">
        <v>887</v>
      </c>
      <c r="B52" s="518">
        <f t="shared" si="1"/>
        <v>725.15</v>
      </c>
      <c r="C52" s="542">
        <f>N37</f>
        <v>725.15</v>
      </c>
      <c r="D52" s="542"/>
      <c r="E52" s="542"/>
      <c r="F52" s="542"/>
      <c r="G52" s="525"/>
      <c r="H52" s="525"/>
    </row>
    <row r="53" spans="1:11" ht="11.85" customHeight="1" x14ac:dyDescent="0.25">
      <c r="A53" s="516" t="s">
        <v>889</v>
      </c>
      <c r="B53" s="518">
        <f t="shared" si="1"/>
        <v>165.42</v>
      </c>
      <c r="C53" s="542">
        <v>165.42</v>
      </c>
      <c r="D53" s="542"/>
      <c r="E53" s="542"/>
      <c r="F53" s="542"/>
      <c r="G53" s="525"/>
      <c r="H53" s="525"/>
    </row>
    <row r="54" spans="1:11" ht="11.85" customHeight="1" x14ac:dyDescent="0.25">
      <c r="A54" s="516" t="s">
        <v>715</v>
      </c>
      <c r="B54" s="518">
        <f t="shared" si="1"/>
        <v>629.17999999999995</v>
      </c>
      <c r="C54" s="542">
        <f>N35</f>
        <v>629.17999999999995</v>
      </c>
      <c r="D54" s="542"/>
      <c r="E54" s="542"/>
      <c r="F54" s="542"/>
      <c r="G54" s="525"/>
      <c r="H54" s="525"/>
    </row>
    <row r="55" spans="1:11" ht="11.85" customHeight="1" x14ac:dyDescent="0.25">
      <c r="A55" s="516" t="s">
        <v>569</v>
      </c>
      <c r="B55" s="518">
        <f t="shared" si="1"/>
        <v>1860.87</v>
      </c>
      <c r="C55" s="542">
        <f>N43</f>
        <v>1860.87</v>
      </c>
      <c r="D55" s="542"/>
      <c r="E55" s="542"/>
      <c r="F55" s="542"/>
      <c r="G55" s="525"/>
      <c r="H55" s="525"/>
    </row>
    <row r="56" spans="1:11" ht="11.85" customHeight="1" x14ac:dyDescent="0.25">
      <c r="A56" s="516" t="s">
        <v>883</v>
      </c>
      <c r="B56" s="518">
        <f t="shared" si="1"/>
        <v>548.20000000000005</v>
      </c>
      <c r="C56" s="542">
        <v>548.20000000000005</v>
      </c>
      <c r="D56" s="542"/>
      <c r="E56" s="542"/>
      <c r="F56" s="542"/>
      <c r="G56" s="525"/>
      <c r="H56" s="525"/>
    </row>
    <row r="57" spans="1:11" ht="11.85" customHeight="1" x14ac:dyDescent="0.25">
      <c r="A57" s="516" t="s">
        <v>884</v>
      </c>
      <c r="B57" s="518">
        <f t="shared" si="1"/>
        <v>437.22</v>
      </c>
      <c r="C57" s="542">
        <f>N42</f>
        <v>437.22</v>
      </c>
      <c r="D57" s="542"/>
      <c r="E57" s="542"/>
      <c r="F57" s="542"/>
      <c r="G57" s="525"/>
      <c r="H57" s="525"/>
    </row>
    <row r="58" spans="1:11" ht="23.65" customHeight="1" x14ac:dyDescent="0.25">
      <c r="A58" s="659" t="s">
        <v>708</v>
      </c>
      <c r="B58" s="116">
        <f t="shared" si="1"/>
        <v>3464.84</v>
      </c>
      <c r="C58" s="84">
        <f>C59+C60</f>
        <v>3464.84</v>
      </c>
      <c r="D58" s="84"/>
      <c r="E58" s="84"/>
      <c r="F58" s="84"/>
      <c r="G58" s="84">
        <v>0</v>
      </c>
      <c r="H58" s="525"/>
    </row>
    <row r="59" spans="1:11" x14ac:dyDescent="0.25">
      <c r="A59" s="516" t="s">
        <v>880</v>
      </c>
      <c r="B59" s="518">
        <f t="shared" si="1"/>
        <v>1556.3</v>
      </c>
      <c r="C59" s="117">
        <f>60*18.9*1.15+30*7.31*1.15</f>
        <v>1556.3</v>
      </c>
      <c r="D59" s="117"/>
      <c r="E59" s="117"/>
      <c r="F59" s="117"/>
      <c r="G59" s="525"/>
      <c r="H59" s="525"/>
    </row>
    <row r="60" spans="1:11" x14ac:dyDescent="0.25">
      <c r="A60" s="516" t="s">
        <v>889</v>
      </c>
      <c r="B60" s="518">
        <f t="shared" si="1"/>
        <v>1908.54</v>
      </c>
      <c r="C60" s="117">
        <f>80*18.9*1.15+20*7.38*1.15</f>
        <v>1908.54</v>
      </c>
      <c r="D60" s="117"/>
      <c r="E60" s="117"/>
      <c r="F60" s="117"/>
      <c r="G60" s="525"/>
      <c r="H60" s="525"/>
    </row>
    <row r="61" spans="1:11" ht="16.7" customHeight="1" x14ac:dyDescent="0.25">
      <c r="A61" s="416" t="s">
        <v>709</v>
      </c>
      <c r="B61" s="116">
        <f t="shared" si="1"/>
        <v>384</v>
      </c>
      <c r="C61" s="84">
        <f>C62</f>
        <v>384</v>
      </c>
      <c r="D61" s="84"/>
      <c r="E61" s="84"/>
      <c r="F61" s="84"/>
      <c r="G61" s="84">
        <f>G62</f>
        <v>0</v>
      </c>
      <c r="H61" s="84"/>
    </row>
    <row r="62" spans="1:11" x14ac:dyDescent="0.25">
      <c r="A62" s="516" t="s">
        <v>883</v>
      </c>
      <c r="B62" s="529">
        <f t="shared" si="1"/>
        <v>384</v>
      </c>
      <c r="C62" s="542">
        <v>384</v>
      </c>
      <c r="D62" s="542"/>
      <c r="E62" s="542"/>
      <c r="F62" s="542"/>
      <c r="G62" s="513">
        <v>0</v>
      </c>
      <c r="H62" s="513"/>
    </row>
    <row r="63" spans="1:11" ht="28.5" customHeight="1" x14ac:dyDescent="0.25">
      <c r="A63" s="659" t="s">
        <v>629</v>
      </c>
      <c r="B63" s="116">
        <f t="shared" si="1"/>
        <v>25756</v>
      </c>
      <c r="C63" s="84">
        <f>C64+C65+C66+C67</f>
        <v>11248</v>
      </c>
      <c r="D63" s="84">
        <f>D64+D65+D66+D67</f>
        <v>11606.4</v>
      </c>
      <c r="E63" s="84">
        <f>E64+E65+E66+E67</f>
        <v>2901.6</v>
      </c>
      <c r="F63" s="84"/>
      <c r="G63" s="84">
        <f>G64+G65+G66+G67</f>
        <v>14508</v>
      </c>
      <c r="H63" s="84">
        <v>14508</v>
      </c>
    </row>
    <row r="64" spans="1:11" x14ac:dyDescent="0.25">
      <c r="A64" s="516" t="s">
        <v>880</v>
      </c>
      <c r="B64" s="518">
        <f t="shared" si="1"/>
        <v>7700</v>
      </c>
      <c r="C64" s="513">
        <v>0</v>
      </c>
      <c r="D64" s="513">
        <f>G64/J19*J17</f>
        <v>6160</v>
      </c>
      <c r="E64" s="513">
        <f>G64/J19*J18</f>
        <v>1540</v>
      </c>
      <c r="F64" s="513"/>
      <c r="G64" s="542">
        <f>100*77</f>
        <v>7700</v>
      </c>
      <c r="H64" s="542"/>
    </row>
    <row r="65" spans="1:9" x14ac:dyDescent="0.25">
      <c r="A65" s="516" t="s">
        <v>908</v>
      </c>
      <c r="B65" s="518">
        <f t="shared" si="1"/>
        <v>9768</v>
      </c>
      <c r="C65" s="542">
        <f>296*6+296*9*2</f>
        <v>7104</v>
      </c>
      <c r="D65" s="542">
        <f>G65/J19*J17</f>
        <v>2131.1999999999998</v>
      </c>
      <c r="E65" s="542">
        <f>G65/J19*J18</f>
        <v>532.79999999999995</v>
      </c>
      <c r="F65" s="542"/>
      <c r="G65" s="542">
        <f>296*9</f>
        <v>2664</v>
      </c>
      <c r="H65" s="542"/>
    </row>
    <row r="66" spans="1:9" x14ac:dyDescent="0.25">
      <c r="A66" s="516" t="s">
        <v>710</v>
      </c>
      <c r="B66" s="518">
        <f t="shared" si="1"/>
        <v>4144</v>
      </c>
      <c r="C66" s="542">
        <f>7*296*2</f>
        <v>4144</v>
      </c>
      <c r="D66" s="542"/>
      <c r="E66" s="542"/>
      <c r="F66" s="542"/>
      <c r="G66" s="542"/>
      <c r="H66" s="542"/>
    </row>
    <row r="67" spans="1:9" x14ac:dyDescent="0.25">
      <c r="A67" s="516" t="s">
        <v>903</v>
      </c>
      <c r="B67" s="518">
        <f t="shared" si="1"/>
        <v>4144</v>
      </c>
      <c r="C67" s="542"/>
      <c r="D67" s="542">
        <f>G67/J19*J17</f>
        <v>3315.2</v>
      </c>
      <c r="E67" s="542">
        <f>G67/J19*J18</f>
        <v>828.8</v>
      </c>
      <c r="F67" s="542"/>
      <c r="G67" s="542">
        <f>7*296*2</f>
        <v>4144</v>
      </c>
      <c r="H67" s="542"/>
    </row>
    <row r="68" spans="1:9" ht="26.25" x14ac:dyDescent="0.25">
      <c r="A68" s="416" t="s">
        <v>628</v>
      </c>
      <c r="B68" s="116">
        <f t="shared" si="1"/>
        <v>36000</v>
      </c>
      <c r="C68" s="84">
        <f>C69</f>
        <v>36000</v>
      </c>
      <c r="D68" s="84"/>
      <c r="E68" s="84"/>
      <c r="F68" s="84"/>
      <c r="G68" s="84">
        <f>G69</f>
        <v>0</v>
      </c>
      <c r="H68" s="525"/>
    </row>
    <row r="69" spans="1:9" x14ac:dyDescent="0.25">
      <c r="A69" s="516" t="s">
        <v>884</v>
      </c>
      <c r="B69" s="529">
        <f t="shared" ref="B69:B76" si="3">C69</f>
        <v>36000</v>
      </c>
      <c r="C69" s="542">
        <v>36000</v>
      </c>
      <c r="D69" s="542"/>
      <c r="E69" s="542"/>
      <c r="F69" s="542"/>
      <c r="G69" s="525"/>
      <c r="H69" s="525"/>
    </row>
    <row r="70" spans="1:9" x14ac:dyDescent="0.25">
      <c r="A70" s="416" t="s">
        <v>711</v>
      </c>
      <c r="B70" s="116">
        <f t="shared" si="3"/>
        <v>22726.799999999999</v>
      </c>
      <c r="C70" s="84">
        <f>C71</f>
        <v>22726.799999999999</v>
      </c>
      <c r="D70" s="84"/>
      <c r="E70" s="84"/>
      <c r="F70" s="84"/>
      <c r="G70" s="84">
        <f>G71</f>
        <v>0</v>
      </c>
      <c r="H70" s="526"/>
    </row>
    <row r="71" spans="1:9" x14ac:dyDescent="0.25">
      <c r="A71" s="516" t="s">
        <v>908</v>
      </c>
      <c r="B71" s="529">
        <f t="shared" si="3"/>
        <v>22726.799999999999</v>
      </c>
      <c r="C71" s="542">
        <v>22726.799999999999</v>
      </c>
      <c r="D71" s="542"/>
      <c r="E71" s="542"/>
      <c r="F71" s="542"/>
      <c r="G71" s="525"/>
      <c r="H71" s="525"/>
    </row>
    <row r="72" spans="1:9" x14ac:dyDescent="0.25">
      <c r="A72" s="416" t="s">
        <v>712</v>
      </c>
      <c r="B72" s="116">
        <f t="shared" si="3"/>
        <v>2166.48</v>
      </c>
      <c r="C72" s="84">
        <f>C73</f>
        <v>2166.48</v>
      </c>
      <c r="D72" s="84"/>
      <c r="E72" s="84"/>
      <c r="F72" s="84"/>
      <c r="G72" s="84">
        <f>G73</f>
        <v>0</v>
      </c>
      <c r="H72" s="526"/>
    </row>
    <row r="73" spans="1:9" x14ac:dyDescent="0.25">
      <c r="A73" s="516" t="s">
        <v>908</v>
      </c>
      <c r="B73" s="529">
        <f t="shared" si="3"/>
        <v>2166.48</v>
      </c>
      <c r="C73" s="542">
        <v>2166.48</v>
      </c>
      <c r="D73" s="542"/>
      <c r="E73" s="542"/>
      <c r="F73" s="542"/>
      <c r="G73" s="525"/>
      <c r="H73" s="525"/>
    </row>
    <row r="74" spans="1:9" x14ac:dyDescent="0.25">
      <c r="A74" s="658" t="s">
        <v>713</v>
      </c>
      <c r="B74" s="116">
        <f t="shared" si="3"/>
        <v>119200</v>
      </c>
      <c r="C74" s="84">
        <f>C75+C76</f>
        <v>119200</v>
      </c>
      <c r="D74" s="84"/>
      <c r="E74" s="84"/>
      <c r="F74" s="84"/>
      <c r="G74" s="84">
        <f>G75</f>
        <v>0</v>
      </c>
      <c r="H74" s="526"/>
    </row>
    <row r="75" spans="1:9" x14ac:dyDescent="0.25">
      <c r="A75" s="516" t="s">
        <v>880</v>
      </c>
      <c r="B75" s="518">
        <f t="shared" si="3"/>
        <v>22600</v>
      </c>
      <c r="C75" s="513">
        <v>22600</v>
      </c>
      <c r="D75" s="513"/>
      <c r="E75" s="513"/>
      <c r="F75" s="513"/>
      <c r="G75" s="525"/>
      <c r="H75" s="525"/>
    </row>
    <row r="76" spans="1:9" x14ac:dyDescent="0.25">
      <c r="A76" s="516" t="s">
        <v>889</v>
      </c>
      <c r="B76" s="518">
        <f t="shared" si="3"/>
        <v>96600</v>
      </c>
      <c r="C76" s="513">
        <f>96600</f>
        <v>96600</v>
      </c>
      <c r="D76" s="513"/>
      <c r="E76" s="513"/>
      <c r="F76" s="513"/>
      <c r="G76" s="525"/>
      <c r="H76" s="525"/>
    </row>
    <row r="77" spans="1:9" ht="25.5" x14ac:dyDescent="0.25">
      <c r="A77" s="80" t="s">
        <v>627</v>
      </c>
      <c r="B77" s="116">
        <f t="shared" ref="B77:B85" si="4">C77+G77</f>
        <v>103200</v>
      </c>
      <c r="C77" s="84">
        <f>C78</f>
        <v>50136</v>
      </c>
      <c r="D77" s="84">
        <f>D78+D79</f>
        <v>42451.199999999997</v>
      </c>
      <c r="E77" s="84">
        <f>E78+E79</f>
        <v>10612.8</v>
      </c>
      <c r="F77" s="84"/>
      <c r="G77" s="84">
        <f>G78+G79</f>
        <v>53064</v>
      </c>
      <c r="H77" s="513"/>
    </row>
    <row r="78" spans="1:9" x14ac:dyDescent="0.25">
      <c r="A78" s="516" t="s">
        <v>710</v>
      </c>
      <c r="B78" s="518">
        <f t="shared" si="4"/>
        <v>50136</v>
      </c>
      <c r="C78" s="531">
        <f>2178*12+2000*12</f>
        <v>50136</v>
      </c>
      <c r="D78" s="531"/>
      <c r="E78" s="531"/>
      <c r="F78" s="531"/>
      <c r="G78" s="117"/>
      <c r="H78" s="117"/>
      <c r="I78" s="76">
        <f>C78/12</f>
        <v>4178</v>
      </c>
    </row>
    <row r="79" spans="1:9" x14ac:dyDescent="0.25">
      <c r="A79" s="516" t="s">
        <v>904</v>
      </c>
      <c r="B79" s="518">
        <f t="shared" si="4"/>
        <v>53064</v>
      </c>
      <c r="C79" s="114"/>
      <c r="D79" s="114">
        <f>G79/J19*J17</f>
        <v>42451.199999999997</v>
      </c>
      <c r="E79" s="114">
        <f>G79/J19*J18</f>
        <v>10612.8</v>
      </c>
      <c r="F79" s="114"/>
      <c r="G79" s="117">
        <f>4422*12</f>
        <v>53064</v>
      </c>
      <c r="H79" s="117"/>
      <c r="I79" s="76">
        <f>D79/12</f>
        <v>3537.6</v>
      </c>
    </row>
    <row r="80" spans="1:9" ht="25.5" x14ac:dyDescent="0.25">
      <c r="A80" s="80" t="s">
        <v>626</v>
      </c>
      <c r="B80" s="116">
        <f t="shared" si="4"/>
        <v>79200</v>
      </c>
      <c r="C80" s="84">
        <f>C81</f>
        <v>41412</v>
      </c>
      <c r="D80" s="84">
        <f>D81+D82</f>
        <v>30230.400000000001</v>
      </c>
      <c r="E80" s="84">
        <f>E81+E82</f>
        <v>7557.6</v>
      </c>
      <c r="F80" s="84"/>
      <c r="G80" s="84">
        <f>G81+G82</f>
        <v>37788</v>
      </c>
      <c r="H80" s="523"/>
      <c r="I80" s="76">
        <f>E79/12</f>
        <v>884.4</v>
      </c>
    </row>
    <row r="81" spans="1:11" x14ac:dyDescent="0.25">
      <c r="A81" s="516" t="s">
        <v>710</v>
      </c>
      <c r="B81" s="518">
        <f t="shared" si="4"/>
        <v>41412</v>
      </c>
      <c r="C81" s="531">
        <f>1551*12+1900*12</f>
        <v>41412</v>
      </c>
      <c r="D81" s="531"/>
      <c r="E81" s="531"/>
      <c r="F81" s="531"/>
      <c r="G81" s="117"/>
      <c r="H81" s="117"/>
      <c r="I81" s="76"/>
    </row>
    <row r="82" spans="1:11" x14ac:dyDescent="0.25">
      <c r="A82" s="516" t="s">
        <v>904</v>
      </c>
      <c r="B82" s="518">
        <f t="shared" si="4"/>
        <v>37788</v>
      </c>
      <c r="C82" s="114"/>
      <c r="D82" s="114">
        <f>G82/J19*J17</f>
        <v>30230.400000000001</v>
      </c>
      <c r="E82" s="114">
        <f>G82/J19*J18</f>
        <v>7557.6</v>
      </c>
      <c r="F82" s="114"/>
      <c r="G82" s="117">
        <f>3149*12</f>
        <v>37788</v>
      </c>
      <c r="H82" s="117"/>
      <c r="I82" s="76"/>
    </row>
    <row r="83" spans="1:11" x14ac:dyDescent="0.25">
      <c r="A83" s="416" t="s">
        <v>716</v>
      </c>
      <c r="B83" s="116">
        <f t="shared" si="4"/>
        <v>781872</v>
      </c>
      <c r="C83" s="119">
        <f>C84</f>
        <v>781872</v>
      </c>
      <c r="D83" s="119"/>
      <c r="E83" s="119"/>
      <c r="F83" s="119"/>
      <c r="G83" s="542"/>
      <c r="H83" s="542"/>
      <c r="I83" s="76"/>
    </row>
    <row r="84" spans="1:11" x14ac:dyDescent="0.25">
      <c r="A84" s="516" t="s">
        <v>710</v>
      </c>
      <c r="B84" s="529">
        <f t="shared" si="4"/>
        <v>781872</v>
      </c>
      <c r="C84" s="530">
        <f>65156*12</f>
        <v>781872</v>
      </c>
      <c r="D84" s="530"/>
      <c r="E84" s="530"/>
      <c r="F84" s="530"/>
      <c r="G84" s="542"/>
      <c r="H84" s="542"/>
    </row>
    <row r="85" spans="1:11" ht="13.5" customHeight="1" x14ac:dyDescent="0.25">
      <c r="A85" s="416" t="s">
        <v>717</v>
      </c>
      <c r="B85" s="116">
        <f t="shared" si="4"/>
        <v>669273.54</v>
      </c>
      <c r="C85" s="84">
        <f>C86</f>
        <v>669273.54</v>
      </c>
      <c r="D85" s="84"/>
      <c r="E85" s="84"/>
      <c r="F85" s="84"/>
      <c r="G85" s="84">
        <f>G86</f>
        <v>0</v>
      </c>
      <c r="H85" s="542"/>
    </row>
    <row r="86" spans="1:11" x14ac:dyDescent="0.25">
      <c r="A86" s="516" t="s">
        <v>710</v>
      </c>
      <c r="B86" s="548"/>
      <c r="C86" s="542">
        <v>669273.54</v>
      </c>
      <c r="D86" s="542"/>
      <c r="E86" s="542"/>
      <c r="F86" s="542"/>
      <c r="G86" s="542"/>
      <c r="H86" s="542"/>
    </row>
    <row r="87" spans="1:11" x14ac:dyDescent="0.25">
      <c r="A87" s="658" t="s">
        <v>714</v>
      </c>
      <c r="B87" s="116">
        <f>C87+G87</f>
        <v>655.4</v>
      </c>
      <c r="C87" s="84">
        <f>C88</f>
        <v>655.4</v>
      </c>
      <c r="D87" s="84"/>
      <c r="E87" s="84"/>
      <c r="F87" s="84"/>
      <c r="G87" s="84">
        <f>G88</f>
        <v>0</v>
      </c>
      <c r="H87" s="525"/>
    </row>
    <row r="88" spans="1:11" x14ac:dyDescent="0.25">
      <c r="A88" s="516" t="s">
        <v>710</v>
      </c>
      <c r="B88" s="518">
        <f>C88+G88</f>
        <v>655.4</v>
      </c>
      <c r="C88" s="542">
        <v>655.4</v>
      </c>
      <c r="D88" s="542"/>
      <c r="E88" s="542"/>
      <c r="F88" s="542"/>
      <c r="G88" s="525"/>
      <c r="H88" s="525"/>
    </row>
    <row r="89" spans="1:11" ht="26.25" customHeight="1" x14ac:dyDescent="0.25">
      <c r="A89" s="416" t="s">
        <v>609</v>
      </c>
      <c r="B89" s="116">
        <f>C89+G89</f>
        <v>17500</v>
      </c>
      <c r="C89" s="84">
        <f>C90</f>
        <v>17500</v>
      </c>
      <c r="D89" s="84"/>
      <c r="E89" s="84"/>
      <c r="F89" s="84"/>
      <c r="G89" s="84">
        <f>G90</f>
        <v>0</v>
      </c>
      <c r="H89" s="117"/>
    </row>
    <row r="90" spans="1:11" ht="11.45" customHeight="1" x14ac:dyDescent="0.25">
      <c r="A90" s="516" t="s">
        <v>904</v>
      </c>
      <c r="B90" s="518">
        <f>C90+G90</f>
        <v>17500</v>
      </c>
      <c r="C90" s="513">
        <v>17500</v>
      </c>
      <c r="D90" s="513"/>
      <c r="E90" s="513"/>
      <c r="F90" s="513"/>
      <c r="G90" s="513">
        <v>0</v>
      </c>
      <c r="H90" s="117">
        <v>60300</v>
      </c>
    </row>
    <row r="91" spans="1:11" ht="15.75" customHeight="1" x14ac:dyDescent="0.25">
      <c r="A91" s="121" t="s">
        <v>794</v>
      </c>
      <c r="B91" s="116">
        <f>C91+D91+E91</f>
        <v>58650</v>
      </c>
      <c r="C91" s="84">
        <f>C92</f>
        <v>58650</v>
      </c>
      <c r="D91" s="513"/>
      <c r="E91" s="513"/>
      <c r="F91" s="513"/>
      <c r="G91" s="513"/>
      <c r="H91" s="117"/>
    </row>
    <row r="92" spans="1:11" ht="11.45" customHeight="1" x14ac:dyDescent="0.25">
      <c r="A92" s="516" t="s">
        <v>904</v>
      </c>
      <c r="B92" s="518">
        <f>C92+D92+E92</f>
        <v>58650</v>
      </c>
      <c r="C92" s="490">
        <v>58650</v>
      </c>
      <c r="D92" s="513"/>
      <c r="E92" s="513"/>
      <c r="F92" s="513"/>
      <c r="G92" s="513"/>
      <c r="H92" s="117"/>
    </row>
    <row r="93" spans="1:11" ht="27" customHeight="1" x14ac:dyDescent="0.25">
      <c r="A93" s="708" t="s">
        <v>321</v>
      </c>
      <c r="B93" s="116">
        <f>G93</f>
        <v>39240</v>
      </c>
      <c r="C93" s="490"/>
      <c r="D93" s="513"/>
      <c r="E93" s="513"/>
      <c r="F93" s="513">
        <v>39240</v>
      </c>
      <c r="G93" s="513">
        <f>D93+E93+F93</f>
        <v>39240</v>
      </c>
      <c r="H93" s="117"/>
    </row>
    <row r="94" spans="1:11" ht="21.75" customHeight="1" x14ac:dyDescent="0.25">
      <c r="A94" s="90" t="s">
        <v>784</v>
      </c>
      <c r="B94" s="170">
        <f>B7+B9+B15+B17+B19+B20+B22+B24+B26+B29+B31+B33+B35+B37+B39+B45+B47+B58+B61+B63+B68+B70+B72+B74+B77+B80+B83+B85+B87+B89+B91+B93</f>
        <v>2726638</v>
      </c>
      <c r="C94" s="170">
        <f>C7+C9+C15+C17+C19+C20+C22+C24+C26+C29+C31+C33+C35+C37+C39+C45+C47+C58+C61+C63+C68+C70+C72+C74+C77+C80+C83+C85+C87+C89+C91</f>
        <v>2516355.2200000002</v>
      </c>
      <c r="D94" s="170">
        <f>D7+D9+D15+D17+D19+D20+D22+D24+D26+D29+D31+D33+D35+D37+D39+D45+D47+D58+D61+D63+D68+D70+D72+D74+D77+D80+D83+D85+D87+D89+D91</f>
        <v>136834.22</v>
      </c>
      <c r="E94" s="170">
        <f>E7+E9+E15+E17+E19+E20+E22+E24+E26+E29+E31+E33+E35+E37+E39+E45+E47+E58+E61+E63+E68+E70+E72+E74+E77+E80+E83+E85+E87+E89+E91</f>
        <v>34208.559999999998</v>
      </c>
      <c r="F94" s="170">
        <f>F93</f>
        <v>39240</v>
      </c>
      <c r="G94" s="170">
        <f>G7+G9+G15+G17+G19+G20+G22+G24+G26+G29+G31+G33+G35+G37+G39+G45+G47+G58+G61+G63+G68+G70+G72+G74+G77+G80+G83+G85+G87+G89+G91+G92+G93</f>
        <v>210282.78</v>
      </c>
      <c r="H94" s="170">
        <f>H7+H9+H15+H17+H19+H20+H22+H24+H26+H29+H31+H33+H35+H37+H39+H45+H47+H58+H61+H63+H68+H70+H72+H74+H77+H80+H83+H85+H87+H89+H91</f>
        <v>84508</v>
      </c>
      <c r="I94" s="617">
        <f>G94*80%</f>
        <v>168226.22</v>
      </c>
    </row>
    <row r="95" spans="1:11" x14ac:dyDescent="0.25">
      <c r="I95" s="76">
        <f>I94-D94</f>
        <v>31392</v>
      </c>
      <c r="J95" s="506" t="s">
        <v>636</v>
      </c>
    </row>
    <row r="96" spans="1:11" x14ac:dyDescent="0.25">
      <c r="A96" s="64" t="s">
        <v>824</v>
      </c>
      <c r="B96" s="64"/>
      <c r="C96" s="509"/>
      <c r="D96" s="509"/>
      <c r="E96" s="509"/>
      <c r="F96" s="509"/>
      <c r="G96" s="509" t="s">
        <v>825</v>
      </c>
      <c r="I96">
        <v>16</v>
      </c>
      <c r="J96" s="162">
        <f>C28+C40+C53+C60+C76</f>
        <v>204123.97</v>
      </c>
      <c r="K96" s="76">
        <f>J96-'[9]смета от 09.06.2012 г.'!$F$31</f>
        <v>0</v>
      </c>
    </row>
    <row r="97" spans="1:12" x14ac:dyDescent="0.25">
      <c r="A97" s="540"/>
      <c r="B97" s="540"/>
      <c r="C97" s="925"/>
      <c r="D97" s="925"/>
      <c r="I97">
        <v>15</v>
      </c>
      <c r="J97" s="162">
        <f>C8+C14+C16+C18+C21+C25+C27+C30+C32+C34+C36+C38+C43+C46+C48+C59+C64+C75+C79+C82+C90+C92</f>
        <v>556034.89</v>
      </c>
      <c r="K97" s="76">
        <f>J97-'[9]смета от 09.06.2012 г.'!$E$31</f>
        <v>0</v>
      </c>
    </row>
    <row r="98" spans="1:12" x14ac:dyDescent="0.25">
      <c r="A98" s="64" t="s">
        <v>99</v>
      </c>
      <c r="B98" s="64"/>
      <c r="C98" s="509"/>
      <c r="D98" s="509"/>
      <c r="E98" s="64"/>
      <c r="F98" s="64"/>
      <c r="G98" s="64" t="s">
        <v>897</v>
      </c>
      <c r="I98">
        <v>13</v>
      </c>
      <c r="J98" s="162">
        <f>C23+C49+C55+C66+C78+C81+C84+C86+C88</f>
        <v>1570468.93</v>
      </c>
      <c r="K98" s="76">
        <f>J98-'[9]смета от 09.06.2012 г.'!$P$31</f>
        <v>0</v>
      </c>
    </row>
    <row r="99" spans="1:12" x14ac:dyDescent="0.25">
      <c r="A99" s="10" t="s">
        <v>891</v>
      </c>
      <c r="C99" s="661"/>
      <c r="G99" s="540" t="s">
        <v>322</v>
      </c>
      <c r="I99">
        <v>17</v>
      </c>
      <c r="J99" s="162">
        <f>C19+C51</f>
        <v>8163.89</v>
      </c>
      <c r="K99" s="76"/>
    </row>
    <row r="100" spans="1:12" x14ac:dyDescent="0.25">
      <c r="C100" s="756"/>
      <c r="I100">
        <v>10</v>
      </c>
      <c r="J100" s="162">
        <f>C41+C56+C62</f>
        <v>26443.13</v>
      </c>
      <c r="K100" s="76">
        <f>J100-'[9]смета от 09.06.2012 г.'!$G$31</f>
        <v>0</v>
      </c>
    </row>
    <row r="101" spans="1:12" x14ac:dyDescent="0.25">
      <c r="C101" s="604"/>
      <c r="I101">
        <v>5</v>
      </c>
      <c r="J101" s="162">
        <f>C42+C57+C69</f>
        <v>96437.22</v>
      </c>
      <c r="K101" s="76">
        <f>J101-'[9]смета от 09.06.2012 г.'!$H$31</f>
        <v>0</v>
      </c>
    </row>
    <row r="102" spans="1:12" x14ac:dyDescent="0.25">
      <c r="B102" s="58"/>
      <c r="I102" s="161">
        <v>14</v>
      </c>
      <c r="J102" s="162">
        <f>C52</f>
        <v>725.15</v>
      </c>
    </row>
    <row r="103" spans="1:12" x14ac:dyDescent="0.25">
      <c r="C103" s="550"/>
      <c r="D103" s="550"/>
      <c r="E103" s="550"/>
      <c r="F103" s="550"/>
      <c r="I103">
        <v>12</v>
      </c>
      <c r="J103" s="162">
        <f>C54</f>
        <v>629.17999999999995</v>
      </c>
    </row>
    <row r="104" spans="1:12" x14ac:dyDescent="0.25">
      <c r="C104" s="755"/>
      <c r="D104" s="549"/>
      <c r="E104" s="549"/>
      <c r="F104" s="549"/>
      <c r="I104">
        <v>11</v>
      </c>
      <c r="J104" s="162">
        <f>C44+C50+C65+C71+C73</f>
        <v>53328.86</v>
      </c>
      <c r="K104" s="76">
        <f>53328.86-J104</f>
        <v>0</v>
      </c>
      <c r="L104" s="76"/>
    </row>
    <row r="105" spans="1:12" x14ac:dyDescent="0.25">
      <c r="C105" s="549"/>
      <c r="D105" s="549"/>
      <c r="E105" s="549"/>
      <c r="F105" s="549"/>
      <c r="J105" s="76">
        <f>C94-J96-J97-J98-J99-J100-J101-J102-J103-J104</f>
        <v>0</v>
      </c>
    </row>
    <row r="116" spans="3:3" x14ac:dyDescent="0.25">
      <c r="C116" s="619">
        <f>'225 ОБЩАЯ'!B38+'226 ОБЩАЯ 06.12'!B89+'226 ОБЩАЯ 06.12'!B77</f>
        <v>210700</v>
      </c>
    </row>
  </sheetData>
  <mergeCells count="9">
    <mergeCell ref="C97:D97"/>
    <mergeCell ref="A1:H1"/>
    <mergeCell ref="I29:M29"/>
    <mergeCell ref="N29:N30"/>
    <mergeCell ref="A4:A5"/>
    <mergeCell ref="B4:B5"/>
    <mergeCell ref="I28:L28"/>
    <mergeCell ref="D5:G5"/>
    <mergeCell ref="C4:G4"/>
  </mergeCells>
  <phoneticPr fontId="17" type="noConversion"/>
  <pageMargins left="0.11811023622047245" right="0.11811023622047245" top="0.74803149606299213" bottom="0.74803149606299213" header="0.31496062992125984" footer="0.31496062992125984"/>
  <pageSetup paperSize="9" scale="85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6"/>
  <sheetViews>
    <sheetView topLeftCell="A16" workbookViewId="0">
      <selection activeCell="A27" sqref="A27:D29"/>
    </sheetView>
  </sheetViews>
  <sheetFormatPr defaultRowHeight="15" x14ac:dyDescent="0.25"/>
  <cols>
    <col min="1" max="1" width="40.85546875" style="10" customWidth="1"/>
    <col min="2" max="2" width="9.140625" style="540" customWidth="1"/>
    <col min="3" max="3" width="8.42578125" style="540" customWidth="1"/>
    <col min="4" max="4" width="13.5703125" style="540" customWidth="1"/>
  </cols>
  <sheetData>
    <row r="3" spans="1:7" ht="29.25" customHeight="1" x14ac:dyDescent="0.25">
      <c r="A3" s="789" t="s">
        <v>487</v>
      </c>
      <c r="B3" s="789"/>
      <c r="C3" s="789"/>
      <c r="D3" s="789"/>
    </row>
    <row r="4" spans="1:7" x14ac:dyDescent="0.25">
      <c r="B4" s="172"/>
      <c r="C4" s="172"/>
    </row>
    <row r="6" spans="1:7" ht="57.75" customHeight="1" x14ac:dyDescent="0.25">
      <c r="A6" s="793" t="s">
        <v>826</v>
      </c>
      <c r="B6" s="867" t="s">
        <v>898</v>
      </c>
      <c r="C6" s="868"/>
      <c r="D6" s="869"/>
      <c r="F6">
        <v>80</v>
      </c>
      <c r="G6" t="s">
        <v>4</v>
      </c>
    </row>
    <row r="7" spans="1:7" ht="13.5" customHeight="1" x14ac:dyDescent="0.25">
      <c r="A7" s="803"/>
      <c r="B7" s="903" t="s">
        <v>878</v>
      </c>
      <c r="C7" s="904"/>
      <c r="D7" s="905"/>
      <c r="F7">
        <v>20</v>
      </c>
      <c r="G7" t="s">
        <v>5</v>
      </c>
    </row>
    <row r="8" spans="1:7" ht="15" customHeight="1" x14ac:dyDescent="0.25">
      <c r="A8" s="794"/>
      <c r="B8" s="519">
        <v>401102</v>
      </c>
      <c r="C8" s="519">
        <v>401202</v>
      </c>
      <c r="D8" s="519" t="s">
        <v>854</v>
      </c>
      <c r="F8">
        <f>F6+F7</f>
        <v>100</v>
      </c>
    </row>
    <row r="9" spans="1:7" s="88" customFormat="1" ht="27.2" customHeight="1" x14ac:dyDescent="0.25">
      <c r="A9" s="659" t="s">
        <v>749</v>
      </c>
      <c r="B9" s="523">
        <f>B10</f>
        <v>29038.42</v>
      </c>
      <c r="C9" s="523">
        <f>C10</f>
        <v>7259.61</v>
      </c>
      <c r="D9" s="523">
        <f>D10</f>
        <v>36298.03</v>
      </c>
    </row>
    <row r="10" spans="1:7" s="88" customFormat="1" ht="13.15" customHeight="1" x14ac:dyDescent="0.25">
      <c r="A10" s="516" t="s">
        <v>880</v>
      </c>
      <c r="B10" s="513">
        <f>D10/F8*F6</f>
        <v>29038.42</v>
      </c>
      <c r="C10" s="513">
        <f>D10/F8*F7</f>
        <v>7259.61</v>
      </c>
      <c r="D10" s="513">
        <f>54176.16*67%</f>
        <v>36298.03</v>
      </c>
    </row>
    <row r="11" spans="1:7" s="88" customFormat="1" ht="51" customHeight="1" x14ac:dyDescent="0.25">
      <c r="A11" s="659" t="s">
        <v>748</v>
      </c>
      <c r="B11" s="84">
        <f>B15</f>
        <v>23507.8</v>
      </c>
      <c r="C11" s="84">
        <f>C15</f>
        <v>5876.95</v>
      </c>
      <c r="D11" s="84">
        <f>D15</f>
        <v>29384.75</v>
      </c>
    </row>
    <row r="12" spans="1:7" s="88" customFormat="1" ht="15.75" customHeight="1" x14ac:dyDescent="0.25">
      <c r="A12" s="541" t="s">
        <v>838</v>
      </c>
      <c r="B12" s="513">
        <f>D12/F8*F6</f>
        <v>3216</v>
      </c>
      <c r="C12" s="513">
        <f>D12/F8*F7</f>
        <v>804</v>
      </c>
      <c r="D12" s="513">
        <f>6000*67%</f>
        <v>4020</v>
      </c>
    </row>
    <row r="13" spans="1:7" s="88" customFormat="1" ht="16.350000000000001" customHeight="1" x14ac:dyDescent="0.25">
      <c r="A13" s="541" t="s">
        <v>841</v>
      </c>
      <c r="B13" s="513">
        <f>D13/F8*F6</f>
        <v>12024</v>
      </c>
      <c r="C13" s="513">
        <f>D13/F8*F7</f>
        <v>3006</v>
      </c>
      <c r="D13" s="513">
        <f>15030</f>
        <v>15030</v>
      </c>
    </row>
    <row r="14" spans="1:7" s="88" customFormat="1" ht="14.25" customHeight="1" x14ac:dyDescent="0.25">
      <c r="A14" s="541" t="s">
        <v>840</v>
      </c>
      <c r="B14" s="513">
        <f>D14/F8*F6</f>
        <v>8267.7999999999993</v>
      </c>
      <c r="C14" s="513">
        <f>D14/F8*F7</f>
        <v>2066.9499999999998</v>
      </c>
      <c r="D14" s="513">
        <f>(5*325+2*5*1380)*67%</f>
        <v>10334.75</v>
      </c>
    </row>
    <row r="15" spans="1:7" s="88" customFormat="1" ht="16.7" customHeight="1" x14ac:dyDescent="0.25">
      <c r="A15" s="516" t="s">
        <v>880</v>
      </c>
      <c r="B15" s="530">
        <f>B12+B13+B14</f>
        <v>23507.8</v>
      </c>
      <c r="C15" s="530">
        <f>C12+C13+C14</f>
        <v>5876.95</v>
      </c>
      <c r="D15" s="530">
        <f>D12+D13+D14</f>
        <v>29384.75</v>
      </c>
    </row>
    <row r="16" spans="1:7" ht="25.5" customHeight="1" x14ac:dyDescent="0.25">
      <c r="A16" s="659" t="s">
        <v>629</v>
      </c>
      <c r="B16" s="84">
        <f>B17+B18+B19+B20</f>
        <v>11606.4</v>
      </c>
      <c r="C16" s="84">
        <f>C17+C18+C19+C20</f>
        <v>2901.6</v>
      </c>
      <c r="D16" s="84">
        <f>D17+D18+D19+D20</f>
        <v>14508</v>
      </c>
    </row>
    <row r="17" spans="1:5" x14ac:dyDescent="0.25">
      <c r="A17" s="516" t="s">
        <v>880</v>
      </c>
      <c r="B17" s="513">
        <f>D17/F8*F6</f>
        <v>6160</v>
      </c>
      <c r="C17" s="513">
        <f>D17/F8*F7</f>
        <v>1540</v>
      </c>
      <c r="D17" s="542">
        <f>100*77</f>
        <v>7700</v>
      </c>
    </row>
    <row r="18" spans="1:5" x14ac:dyDescent="0.25">
      <c r="A18" s="516" t="s">
        <v>908</v>
      </c>
      <c r="B18" s="542">
        <f>D18/F8*F6</f>
        <v>2131.1999999999998</v>
      </c>
      <c r="C18" s="542">
        <f>D18/F8*F7</f>
        <v>532.79999999999995</v>
      </c>
      <c r="D18" s="542">
        <f>296*9</f>
        <v>2664</v>
      </c>
    </row>
    <row r="19" spans="1:5" x14ac:dyDescent="0.25">
      <c r="A19" s="516" t="s">
        <v>710</v>
      </c>
      <c r="B19" s="542"/>
      <c r="C19" s="542"/>
      <c r="D19" s="542"/>
    </row>
    <row r="20" spans="1:5" x14ac:dyDescent="0.25">
      <c r="A20" s="516" t="s">
        <v>903</v>
      </c>
      <c r="B20" s="542">
        <f>D20/F8*F6</f>
        <v>3315.2</v>
      </c>
      <c r="C20" s="542">
        <f>D20/F8*F7</f>
        <v>828.8</v>
      </c>
      <c r="D20" s="542">
        <f>7*296*2</f>
        <v>4144</v>
      </c>
    </row>
    <row r="21" spans="1:5" ht="51" x14ac:dyDescent="0.25">
      <c r="A21" s="80" t="s">
        <v>746</v>
      </c>
      <c r="B21" s="84">
        <f>B22</f>
        <v>42451.199999999997</v>
      </c>
      <c r="C21" s="84">
        <f>C22</f>
        <v>10612.8</v>
      </c>
      <c r="D21" s="84">
        <f>D22</f>
        <v>53064</v>
      </c>
    </row>
    <row r="22" spans="1:5" x14ac:dyDescent="0.25">
      <c r="A22" s="516" t="s">
        <v>904</v>
      </c>
      <c r="B22" s="114">
        <f>D22/F8*F6</f>
        <v>42451.199999999997</v>
      </c>
      <c r="C22" s="114">
        <f>D22/F8*F7</f>
        <v>10612.8</v>
      </c>
      <c r="D22" s="117">
        <f>4422*12</f>
        <v>53064</v>
      </c>
      <c r="E22" s="76">
        <f>B22/12</f>
        <v>3537.6</v>
      </c>
    </row>
    <row r="23" spans="1:5" ht="38.25" x14ac:dyDescent="0.25">
      <c r="A23" s="80" t="s">
        <v>747</v>
      </c>
      <c r="B23" s="84">
        <f>B24</f>
        <v>30230.400000000001</v>
      </c>
      <c r="C23" s="84">
        <f>C24</f>
        <v>7557.6</v>
      </c>
      <c r="D23" s="84">
        <f>D24</f>
        <v>37788</v>
      </c>
      <c r="E23" s="76">
        <f>C22/12</f>
        <v>884.4</v>
      </c>
    </row>
    <row r="24" spans="1:5" x14ac:dyDescent="0.25">
      <c r="A24" s="516" t="s">
        <v>904</v>
      </c>
      <c r="B24" s="114">
        <f>D24/F8*F6</f>
        <v>30230.400000000001</v>
      </c>
      <c r="C24" s="114">
        <f>D24/F8*F7</f>
        <v>7557.6</v>
      </c>
      <c r="D24" s="117">
        <f>3149*12</f>
        <v>37788</v>
      </c>
    </row>
    <row r="25" spans="1:5" ht="21.75" customHeight="1" x14ac:dyDescent="0.25">
      <c r="A25" s="90" t="s">
        <v>784</v>
      </c>
      <c r="B25" s="170">
        <f>B9+B11+B16+B21+B23</f>
        <v>136834.22</v>
      </c>
      <c r="C25" s="170">
        <f>C9+C11+C16+C21+C23</f>
        <v>34208.559999999998</v>
      </c>
      <c r="D25" s="170">
        <f>D9+D11+D16+D21+D23</f>
        <v>171042.78</v>
      </c>
    </row>
    <row r="27" spans="1:5" x14ac:dyDescent="0.25">
      <c r="A27" s="64" t="s">
        <v>824</v>
      </c>
      <c r="B27" s="509"/>
      <c r="C27" s="509"/>
      <c r="D27" s="509" t="s">
        <v>825</v>
      </c>
    </row>
    <row r="28" spans="1:5" x14ac:dyDescent="0.25">
      <c r="A28" s="540"/>
    </row>
    <row r="29" spans="1:5" x14ac:dyDescent="0.25">
      <c r="A29" s="64" t="s">
        <v>99</v>
      </c>
      <c r="B29" s="64"/>
      <c r="C29" s="64"/>
      <c r="D29" s="64" t="s">
        <v>897</v>
      </c>
    </row>
    <row r="34" spans="3:3" x14ac:dyDescent="0.25">
      <c r="C34" s="550"/>
    </row>
    <row r="35" spans="3:3" x14ac:dyDescent="0.25">
      <c r="C35" s="549"/>
    </row>
    <row r="36" spans="3:3" x14ac:dyDescent="0.25">
      <c r="C36" s="549"/>
    </row>
  </sheetData>
  <mergeCells count="4">
    <mergeCell ref="A3:D3"/>
    <mergeCell ref="B7:D7"/>
    <mergeCell ref="B6:D6"/>
    <mergeCell ref="A6:A8"/>
  </mergeCells>
  <phoneticPr fontId="17" type="noConversion"/>
  <pageMargins left="0.7" right="0.7" top="0.75" bottom="0.75" header="0.3" footer="0.3"/>
  <pageSetup paperSize="9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8"/>
  <sheetViews>
    <sheetView workbookViewId="0">
      <selection activeCell="I13" sqref="I13"/>
    </sheetView>
  </sheetViews>
  <sheetFormatPr defaultRowHeight="15" x14ac:dyDescent="0.25"/>
  <cols>
    <col min="1" max="1" width="28.42578125" bestFit="1" customWidth="1"/>
    <col min="2" max="2" width="10.28515625" customWidth="1"/>
    <col min="3" max="3" width="9.42578125" customWidth="1"/>
    <col min="4" max="4" width="11.42578125" customWidth="1"/>
    <col min="6" max="6" width="5.85546875" customWidth="1"/>
    <col min="7" max="7" width="12" customWidth="1"/>
    <col min="9" max="9" width="9.28515625" bestFit="1" customWidth="1"/>
  </cols>
  <sheetData>
    <row r="3" spans="1:9" ht="40.5" customHeight="1" x14ac:dyDescent="0.25">
      <c r="A3" s="789" t="s">
        <v>489</v>
      </c>
      <c r="B3" s="789"/>
      <c r="C3" s="789"/>
      <c r="D3" s="790"/>
    </row>
    <row r="4" spans="1:9" x14ac:dyDescent="0.25">
      <c r="D4" s="72"/>
    </row>
    <row r="6" spans="1:9" ht="42.75" customHeight="1" x14ac:dyDescent="0.25">
      <c r="A6" s="793" t="s">
        <v>826</v>
      </c>
      <c r="B6" s="791" t="s">
        <v>898</v>
      </c>
      <c r="C6" s="791"/>
      <c r="D6" s="791"/>
    </row>
    <row r="7" spans="1:9" x14ac:dyDescent="0.25">
      <c r="A7" s="803"/>
      <c r="B7" s="915" t="s">
        <v>878</v>
      </c>
      <c r="C7" s="916"/>
      <c r="D7" s="917"/>
    </row>
    <row r="8" spans="1:9" x14ac:dyDescent="0.25">
      <c r="A8" s="794"/>
      <c r="B8" s="519">
        <v>401103</v>
      </c>
      <c r="C8" s="519">
        <v>401203</v>
      </c>
      <c r="D8" s="519" t="s">
        <v>854</v>
      </c>
    </row>
    <row r="9" spans="1:9" ht="29.25" customHeight="1" x14ac:dyDescent="0.25">
      <c r="A9" s="121" t="s">
        <v>860</v>
      </c>
      <c r="B9" s="185">
        <f>D9/F13*F9</f>
        <v>943936.24</v>
      </c>
      <c r="C9" s="185">
        <f>D9/F13*F12</f>
        <v>235984.06</v>
      </c>
      <c r="D9" s="116">
        <f>299779.66+7691.5+304684893.98*0.4%/4*3+15337293.35*0.15%/4*3-'340 медикаменты'!B11-'226012003'!B11</f>
        <v>1179920.3</v>
      </c>
      <c r="F9" s="71">
        <v>80</v>
      </c>
      <c r="G9" s="71" t="s">
        <v>4</v>
      </c>
      <c r="I9" s="116">
        <f>299779.66+304684893.98*0.4%/4*3</f>
        <v>1213834.3400000001</v>
      </c>
    </row>
    <row r="10" spans="1:9" ht="19.5" customHeight="1" x14ac:dyDescent="0.25">
      <c r="A10" s="121" t="s">
        <v>179</v>
      </c>
      <c r="B10" s="185">
        <f>D10*F9/F13</f>
        <v>923979.47</v>
      </c>
      <c r="C10" s="185">
        <f>D10*F12/F13</f>
        <v>230994.87</v>
      </c>
      <c r="D10" s="116">
        <f>299779.66+304684893.98*0.4%/4*3-'340 медикаменты'!B11-'226012003'!B11</f>
        <v>1154974.3400000001</v>
      </c>
      <c r="F10" s="71"/>
      <c r="G10" s="71"/>
      <c r="I10" s="116">
        <f>7691.5+15337293.35*0.15%/4*3</f>
        <v>24945.96</v>
      </c>
    </row>
    <row r="11" spans="1:9" ht="22.5" customHeight="1" x14ac:dyDescent="0.25">
      <c r="A11" s="121" t="s">
        <v>881</v>
      </c>
      <c r="B11" s="185">
        <f>D11*F9/F13</f>
        <v>19956.77</v>
      </c>
      <c r="C11" s="185">
        <f>D11*F12/F13</f>
        <v>4989.1899999999996</v>
      </c>
      <c r="D11" s="116">
        <f>7691.5+15337293.35*0.15%/4*3</f>
        <v>24945.96</v>
      </c>
      <c r="F11" s="71"/>
      <c r="G11" s="71"/>
    </row>
    <row r="12" spans="1:9" ht="21.75" customHeight="1" x14ac:dyDescent="0.25">
      <c r="A12" s="73" t="s">
        <v>828</v>
      </c>
      <c r="B12" s="74">
        <f>B9</f>
        <v>943936.24</v>
      </c>
      <c r="C12" s="74">
        <f>C9</f>
        <v>235984.06</v>
      </c>
      <c r="D12" s="74">
        <f>D9</f>
        <v>1179920.3</v>
      </c>
      <c r="F12" s="71">
        <v>20</v>
      </c>
      <c r="G12" s="71" t="s">
        <v>5</v>
      </c>
      <c r="I12" s="116">
        <f>299779.66+7691.5+304684893.98*0.4%/4*3+15337293.35*0.15%/4*3</f>
        <v>1238780.3</v>
      </c>
    </row>
    <row r="13" spans="1:9" x14ac:dyDescent="0.25">
      <c r="A13" s="75"/>
      <c r="B13" s="75"/>
      <c r="C13" s="75"/>
      <c r="D13" s="86"/>
      <c r="F13" s="138">
        <f>F9+F12</f>
        <v>100</v>
      </c>
      <c r="G13" s="71"/>
    </row>
    <row r="16" spans="1:9" x14ac:dyDescent="0.25">
      <c r="A16" s="64" t="s">
        <v>824</v>
      </c>
      <c r="C16" s="509" t="s">
        <v>825</v>
      </c>
      <c r="G16" s="76">
        <f>D9-D10-D11</f>
        <v>0</v>
      </c>
    </row>
    <row r="17" spans="1:8" x14ac:dyDescent="0.25">
      <c r="A17" s="68"/>
      <c r="C17" s="68"/>
    </row>
    <row r="18" spans="1:8" x14ac:dyDescent="0.25">
      <c r="A18" s="64" t="s">
        <v>99</v>
      </c>
      <c r="C18" s="64" t="s">
        <v>897</v>
      </c>
      <c r="G18" s="76">
        <f>B9-B10-B11</f>
        <v>0</v>
      </c>
      <c r="H18" s="76">
        <f>C9-C10-C11</f>
        <v>0</v>
      </c>
    </row>
  </sheetData>
  <mergeCells count="4">
    <mergeCell ref="A3:D3"/>
    <mergeCell ref="B7:D7"/>
    <mergeCell ref="A6:A8"/>
    <mergeCell ref="B6:D6"/>
  </mergeCells>
  <phoneticPr fontId="17" type="noConversion"/>
  <pageMargins left="0.7" right="0.7" top="0.75" bottom="0.75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1"/>
  <sheetViews>
    <sheetView topLeftCell="A10" workbookViewId="0">
      <selection activeCell="A3" sqref="A3:D21"/>
    </sheetView>
  </sheetViews>
  <sheetFormatPr defaultRowHeight="15" x14ac:dyDescent="0.25"/>
  <cols>
    <col min="1" max="1" width="28.42578125" bestFit="1" customWidth="1"/>
    <col min="2" max="2" width="10.28515625" customWidth="1"/>
    <col min="3" max="3" width="9.42578125" customWidth="1"/>
    <col min="4" max="4" width="11.42578125" customWidth="1"/>
    <col min="6" max="6" width="5.85546875" customWidth="1"/>
    <col min="7" max="7" width="12" customWidth="1"/>
    <col min="9" max="9" width="9.28515625" bestFit="1" customWidth="1"/>
  </cols>
  <sheetData>
    <row r="3" spans="1:9" ht="40.5" customHeight="1" x14ac:dyDescent="0.25">
      <c r="A3" s="789" t="s">
        <v>489</v>
      </c>
      <c r="B3" s="789"/>
      <c r="C3" s="789"/>
      <c r="D3" s="790"/>
    </row>
    <row r="4" spans="1:9" x14ac:dyDescent="0.25">
      <c r="D4" s="72"/>
    </row>
    <row r="6" spans="1:9" ht="42.75" customHeight="1" x14ac:dyDescent="0.25">
      <c r="A6" s="793" t="s">
        <v>826</v>
      </c>
      <c r="B6" s="791" t="s">
        <v>898</v>
      </c>
      <c r="C6" s="791"/>
      <c r="D6" s="791"/>
    </row>
    <row r="7" spans="1:9" x14ac:dyDescent="0.25">
      <c r="A7" s="803"/>
      <c r="B7" s="915" t="s">
        <v>878</v>
      </c>
      <c r="C7" s="916"/>
      <c r="D7" s="917"/>
    </row>
    <row r="8" spans="1:9" x14ac:dyDescent="0.25">
      <c r="A8" s="794"/>
      <c r="B8" s="519">
        <v>401103</v>
      </c>
      <c r="C8" s="519">
        <v>401203</v>
      </c>
      <c r="D8" s="519" t="s">
        <v>854</v>
      </c>
    </row>
    <row r="9" spans="1:9" ht="29.25" customHeight="1" x14ac:dyDescent="0.25">
      <c r="A9" s="121" t="s">
        <v>860</v>
      </c>
      <c r="B9" s="185">
        <f>D9/F13*F9</f>
        <v>991024.24</v>
      </c>
      <c r="C9" s="185">
        <f>D9/F13*F12</f>
        <v>247756.06</v>
      </c>
      <c r="D9" s="116">
        <f>299779.66+7691.5+304684893.98*0.4%/4*3+15337293.35*0.15%/4*3</f>
        <v>1238780.3</v>
      </c>
      <c r="F9" s="71">
        <v>80</v>
      </c>
      <c r="G9" s="71" t="s">
        <v>4</v>
      </c>
      <c r="I9" s="116">
        <f>299779.66+304684893.98*0.4%/4*3</f>
        <v>1213834.3400000001</v>
      </c>
    </row>
    <row r="10" spans="1:9" ht="19.5" customHeight="1" x14ac:dyDescent="0.25">
      <c r="A10" s="121" t="s">
        <v>179</v>
      </c>
      <c r="B10" s="185">
        <f>D10*F9/F13</f>
        <v>971067.47</v>
      </c>
      <c r="C10" s="185">
        <f>D10*F12/F13</f>
        <v>242766.87</v>
      </c>
      <c r="D10" s="116">
        <f>299779.66+304684893.98*0.4%/4*3</f>
        <v>1213834.3400000001</v>
      </c>
      <c r="F10" s="71"/>
      <c r="G10" s="71"/>
      <c r="I10" s="116">
        <f>7691.5+15337293.35*0.15%/4*3</f>
        <v>24945.96</v>
      </c>
    </row>
    <row r="11" spans="1:9" ht="22.5" customHeight="1" x14ac:dyDescent="0.25">
      <c r="A11" s="121" t="s">
        <v>881</v>
      </c>
      <c r="B11" s="185">
        <f>D11*F9/F13</f>
        <v>19956.77</v>
      </c>
      <c r="C11" s="185">
        <f>D11*F12/F13</f>
        <v>4989.1899999999996</v>
      </c>
      <c r="D11" s="116">
        <f>7691.5+15337293.35*0.15%/4*3</f>
        <v>24945.96</v>
      </c>
      <c r="F11" s="71"/>
      <c r="G11" s="71"/>
    </row>
    <row r="12" spans="1:9" ht="21.75" customHeight="1" x14ac:dyDescent="0.25">
      <c r="A12" s="73" t="s">
        <v>828</v>
      </c>
      <c r="B12" s="74">
        <f>B9</f>
        <v>991024.24</v>
      </c>
      <c r="C12" s="74">
        <f>C9</f>
        <v>247756.06</v>
      </c>
      <c r="D12" s="74">
        <f>D9</f>
        <v>1238780.3</v>
      </c>
      <c r="F12" s="71">
        <v>20</v>
      </c>
      <c r="G12" s="71" t="s">
        <v>5</v>
      </c>
      <c r="I12" s="116">
        <f>299779.66+7691.5+304684893.98*0.4%/4*3+15337293.35*0.15%/4*3</f>
        <v>1238780.3</v>
      </c>
    </row>
    <row r="13" spans="1:9" x14ac:dyDescent="0.25">
      <c r="A13" s="75"/>
      <c r="B13" s="75"/>
      <c r="C13" s="75"/>
      <c r="D13" s="86"/>
      <c r="F13" s="138">
        <f>F9+F12</f>
        <v>100</v>
      </c>
      <c r="G13" s="71"/>
    </row>
    <row r="16" spans="1:9" x14ac:dyDescent="0.25">
      <c r="A16" s="64" t="s">
        <v>824</v>
      </c>
      <c r="C16" s="509" t="s">
        <v>825</v>
      </c>
      <c r="G16" s="76">
        <f>D9-D10-D11</f>
        <v>0</v>
      </c>
    </row>
    <row r="17" spans="1:8" x14ac:dyDescent="0.25">
      <c r="A17" s="68"/>
      <c r="C17" s="68"/>
    </row>
    <row r="18" spans="1:8" x14ac:dyDescent="0.25">
      <c r="A18" s="64" t="s">
        <v>99</v>
      </c>
      <c r="C18" s="64" t="s">
        <v>897</v>
      </c>
      <c r="G18" s="76">
        <f>B9-B10-B11</f>
        <v>0</v>
      </c>
      <c r="H18" s="76">
        <f>C9-C10-C11</f>
        <v>0</v>
      </c>
    </row>
    <row r="21" spans="1:8" x14ac:dyDescent="0.25">
      <c r="A21" s="3" t="s">
        <v>891</v>
      </c>
      <c r="C21" s="3" t="s">
        <v>283</v>
      </c>
    </row>
  </sheetData>
  <mergeCells count="4">
    <mergeCell ref="A3:D3"/>
    <mergeCell ref="B7:D7"/>
    <mergeCell ref="A6:A8"/>
    <mergeCell ref="B6:D6"/>
  </mergeCells>
  <phoneticPr fontId="17" type="noConversion"/>
  <pageMargins left="0.7" right="0.7" top="0.75" bottom="0.75" header="0.3" footer="0.3"/>
  <pageSetup paperSize="9" orientation="portrait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6"/>
  <sheetViews>
    <sheetView topLeftCell="A2" workbookViewId="0">
      <selection activeCell="A21" sqref="A21:D23"/>
    </sheetView>
  </sheetViews>
  <sheetFormatPr defaultRowHeight="15" x14ac:dyDescent="0.25"/>
  <cols>
    <col min="1" max="1" width="24.42578125" customWidth="1"/>
    <col min="2" max="2" width="11.7109375" customWidth="1"/>
    <col min="3" max="3" width="18" customWidth="1"/>
    <col min="4" max="4" width="14.28515625" customWidth="1"/>
  </cols>
  <sheetData>
    <row r="3" spans="1:4" ht="41.25" customHeight="1" x14ac:dyDescent="0.25">
      <c r="A3" s="789" t="s">
        <v>769</v>
      </c>
      <c r="B3" s="789"/>
      <c r="C3" s="789"/>
      <c r="D3" s="789"/>
    </row>
    <row r="5" spans="1:4" ht="45" customHeight="1" x14ac:dyDescent="0.25">
      <c r="A5" s="791" t="s">
        <v>826</v>
      </c>
      <c r="B5" s="791" t="s">
        <v>827</v>
      </c>
      <c r="C5" s="885" t="s">
        <v>898</v>
      </c>
      <c r="D5" s="887"/>
    </row>
    <row r="6" spans="1:4" x14ac:dyDescent="0.25">
      <c r="A6" s="791"/>
      <c r="B6" s="791"/>
      <c r="C6" s="90" t="s">
        <v>601</v>
      </c>
      <c r="D6" s="90" t="s">
        <v>602</v>
      </c>
    </row>
    <row r="7" spans="1:4" ht="15" customHeight="1" x14ac:dyDescent="0.25">
      <c r="A7" s="129" t="s">
        <v>756</v>
      </c>
      <c r="B7" s="81">
        <f>C7+D7</f>
        <v>4898</v>
      </c>
      <c r="C7" s="81">
        <v>4898</v>
      </c>
      <c r="D7" s="130"/>
    </row>
    <row r="8" spans="1:4" ht="38.25" x14ac:dyDescent="0.25">
      <c r="A8" s="80" t="s">
        <v>762</v>
      </c>
      <c r="B8" s="81">
        <f t="shared" ref="B8:B13" si="0">C8+D8</f>
        <v>6440</v>
      </c>
      <c r="C8" s="81">
        <v>6440</v>
      </c>
      <c r="D8" s="130"/>
    </row>
    <row r="9" spans="1:4" ht="25.5" x14ac:dyDescent="0.25">
      <c r="A9" s="80" t="s">
        <v>763</v>
      </c>
      <c r="B9" s="81">
        <f t="shared" si="0"/>
        <v>24000</v>
      </c>
      <c r="C9" s="81">
        <v>24000</v>
      </c>
      <c r="D9" s="130"/>
    </row>
    <row r="10" spans="1:4" ht="25.5" x14ac:dyDescent="0.25">
      <c r="A10" s="80" t="s">
        <v>764</v>
      </c>
      <c r="B10" s="81">
        <f t="shared" si="0"/>
        <v>10000</v>
      </c>
      <c r="C10" s="122">
        <v>10000</v>
      </c>
      <c r="D10" s="130"/>
    </row>
    <row r="11" spans="1:4" ht="27.2" customHeight="1" x14ac:dyDescent="0.25">
      <c r="A11" s="80" t="s">
        <v>765</v>
      </c>
      <c r="B11" s="81">
        <f t="shared" si="0"/>
        <v>8000</v>
      </c>
      <c r="C11" s="81">
        <v>8000</v>
      </c>
      <c r="D11" s="130"/>
    </row>
    <row r="12" spans="1:4" ht="25.5" x14ac:dyDescent="0.25">
      <c r="A12" s="80" t="s">
        <v>766</v>
      </c>
      <c r="B12" s="81">
        <f t="shared" si="0"/>
        <v>8000</v>
      </c>
      <c r="C12" s="122">
        <v>8000</v>
      </c>
      <c r="D12" s="130"/>
    </row>
    <row r="13" spans="1:4" ht="25.5" x14ac:dyDescent="0.25">
      <c r="A13" s="80" t="s">
        <v>767</v>
      </c>
      <c r="B13" s="81">
        <f t="shared" si="0"/>
        <v>20000</v>
      </c>
      <c r="C13" s="122">
        <v>20000</v>
      </c>
      <c r="D13" s="130"/>
    </row>
    <row r="14" spans="1:4" x14ac:dyDescent="0.25">
      <c r="A14" s="133" t="s">
        <v>880</v>
      </c>
      <c r="B14" s="654">
        <f>C14</f>
        <v>81338</v>
      </c>
      <c r="C14" s="134">
        <f>C7+C8+C9+C10+C11+C12+C13</f>
        <v>81338</v>
      </c>
      <c r="D14" s="130"/>
    </row>
    <row r="15" spans="1:4" ht="25.5" x14ac:dyDescent="0.25">
      <c r="A15" s="80" t="s">
        <v>770</v>
      </c>
      <c r="B15" s="116">
        <f>C15</f>
        <v>37990.6</v>
      </c>
      <c r="C15" s="134">
        <f>C16</f>
        <v>37990.6</v>
      </c>
      <c r="D15" s="130"/>
    </row>
    <row r="16" spans="1:4" x14ac:dyDescent="0.25">
      <c r="A16" s="133" t="s">
        <v>701</v>
      </c>
      <c r="B16" s="654">
        <f>C16</f>
        <v>37990.6</v>
      </c>
      <c r="C16" s="134">
        <f>37990.6</f>
        <v>37990.6</v>
      </c>
      <c r="D16" s="130"/>
    </row>
    <row r="17" spans="1:4" ht="22.5" customHeight="1" x14ac:dyDescent="0.25">
      <c r="A17" s="655" t="s">
        <v>828</v>
      </c>
      <c r="B17" s="657">
        <f>B14+B15</f>
        <v>119328.6</v>
      </c>
      <c r="C17" s="657">
        <f>C14+C15</f>
        <v>119328.6</v>
      </c>
      <c r="D17" s="656"/>
    </row>
    <row r="19" spans="1:4" x14ac:dyDescent="0.25">
      <c r="C19" s="79"/>
    </row>
    <row r="21" spans="1:4" x14ac:dyDescent="0.25">
      <c r="A21" s="64" t="s">
        <v>824</v>
      </c>
      <c r="B21" s="64"/>
      <c r="C21" s="509"/>
      <c r="D21" s="509" t="s">
        <v>825</v>
      </c>
    </row>
    <row r="22" spans="1:4" x14ac:dyDescent="0.25">
      <c r="A22" s="68"/>
      <c r="B22" s="68"/>
      <c r="C22" s="68"/>
      <c r="D22" s="68"/>
    </row>
    <row r="23" spans="1:4" x14ac:dyDescent="0.25">
      <c r="A23" s="64" t="s">
        <v>99</v>
      </c>
      <c r="B23" s="64"/>
      <c r="C23" s="64"/>
      <c r="D23" s="64" t="s">
        <v>897</v>
      </c>
    </row>
    <row r="25" spans="1:4" x14ac:dyDescent="0.25">
      <c r="C25" s="602">
        <f>'[3]смета от 11.01.2012'!$C$31</f>
        <v>879436.58</v>
      </c>
    </row>
    <row r="26" spans="1:4" x14ac:dyDescent="0.25">
      <c r="C26" s="602">
        <f>C25-C17</f>
        <v>760107.98</v>
      </c>
    </row>
  </sheetData>
  <mergeCells count="4">
    <mergeCell ref="A5:A6"/>
    <mergeCell ref="B5:B6"/>
    <mergeCell ref="A3:D3"/>
    <mergeCell ref="C5:D5"/>
  </mergeCells>
  <phoneticPr fontId="17" type="noConversion"/>
  <pageMargins left="0.7" right="0.7" top="0.75" bottom="0.75" header="0.3" footer="0.3"/>
  <pageSetup paperSize="9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02"/>
  <sheetViews>
    <sheetView topLeftCell="A73" workbookViewId="0">
      <selection activeCell="A3" sqref="A3:E3"/>
    </sheetView>
  </sheetViews>
  <sheetFormatPr defaultRowHeight="15" x14ac:dyDescent="0.25"/>
  <cols>
    <col min="1" max="1" width="34.7109375" style="145" customWidth="1"/>
    <col min="2" max="2" width="10.42578125" style="145" customWidth="1"/>
    <col min="3" max="3" width="14.5703125" style="145" customWidth="1"/>
    <col min="4" max="4" width="8.7109375" style="145" customWidth="1"/>
    <col min="5" max="5" width="10.85546875" style="145" customWidth="1"/>
    <col min="6" max="6" width="18.28515625" style="145" customWidth="1"/>
    <col min="7" max="8" width="9.42578125" bestFit="1" customWidth="1"/>
  </cols>
  <sheetData>
    <row r="3" spans="1:6" ht="43.5" customHeight="1" x14ac:dyDescent="0.25">
      <c r="A3" s="913" t="s">
        <v>625</v>
      </c>
      <c r="B3" s="913"/>
      <c r="C3" s="913"/>
      <c r="D3" s="913"/>
      <c r="E3" s="913"/>
      <c r="F3" s="72"/>
    </row>
    <row r="4" spans="1:6" ht="15.75" customHeight="1" x14ac:dyDescent="0.25">
      <c r="A4" s="95"/>
      <c r="B4" s="95"/>
      <c r="C4" s="95"/>
      <c r="D4" s="95"/>
      <c r="E4" s="95"/>
      <c r="F4" s="95"/>
    </row>
    <row r="5" spans="1:6" ht="50.25" customHeight="1" x14ac:dyDescent="0.25">
      <c r="A5" s="791" t="s">
        <v>826</v>
      </c>
      <c r="B5" s="791" t="s">
        <v>827</v>
      </c>
      <c r="C5" s="885" t="s">
        <v>898</v>
      </c>
      <c r="D5" s="887"/>
      <c r="E5" s="89" t="s">
        <v>681</v>
      </c>
      <c r="F5" s="494"/>
    </row>
    <row r="6" spans="1:6" ht="15.75" customHeight="1" x14ac:dyDescent="0.25">
      <c r="A6" s="791"/>
      <c r="B6" s="791"/>
      <c r="C6" s="90" t="s">
        <v>601</v>
      </c>
      <c r="D6" s="915" t="s">
        <v>602</v>
      </c>
      <c r="E6" s="917"/>
      <c r="F6" s="495"/>
    </row>
    <row r="7" spans="1:6" ht="16.7" customHeight="1" x14ac:dyDescent="0.25">
      <c r="A7" s="138" t="s">
        <v>889</v>
      </c>
      <c r="B7" s="149">
        <f>C7+D7</f>
        <v>49650</v>
      </c>
      <c r="C7" s="116">
        <f>C8+C9+C10+C11</f>
        <v>49650</v>
      </c>
      <c r="D7" s="116">
        <f>D8+D9+D10+D11</f>
        <v>0</v>
      </c>
      <c r="E7" s="116"/>
      <c r="F7" s="86"/>
    </row>
    <row r="8" spans="1:6" ht="12.95" customHeight="1" x14ac:dyDescent="0.25">
      <c r="A8" s="551" t="s">
        <v>787</v>
      </c>
      <c r="B8" s="552">
        <f>C8+D8</f>
        <v>40700</v>
      </c>
      <c r="C8" s="518">
        <f>11*3700</f>
        <v>40700</v>
      </c>
      <c r="D8" s="553"/>
      <c r="E8" s="553"/>
      <c r="F8" s="492"/>
    </row>
    <row r="9" spans="1:6" ht="12.95" customHeight="1" x14ac:dyDescent="0.25">
      <c r="A9" s="551" t="s">
        <v>788</v>
      </c>
      <c r="B9" s="552">
        <f>C9+D9</f>
        <v>6800</v>
      </c>
      <c r="C9" s="518">
        <v>6800</v>
      </c>
      <c r="D9" s="553"/>
      <c r="E9" s="553"/>
      <c r="F9" s="492"/>
    </row>
    <row r="10" spans="1:6" ht="11.85" customHeight="1" x14ac:dyDescent="0.25">
      <c r="A10" s="551" t="s">
        <v>789</v>
      </c>
      <c r="B10" s="552">
        <f>C10+D10</f>
        <v>1450</v>
      </c>
      <c r="C10" s="518">
        <f>5*290</f>
        <v>1450</v>
      </c>
      <c r="D10" s="553"/>
      <c r="E10" s="553"/>
      <c r="F10" s="492"/>
    </row>
    <row r="11" spans="1:6" ht="11.85" customHeight="1" x14ac:dyDescent="0.25">
      <c r="A11" s="551" t="s">
        <v>790</v>
      </c>
      <c r="B11" s="552">
        <f>C11+D11</f>
        <v>700</v>
      </c>
      <c r="C11" s="518">
        <f>5*140</f>
        <v>700</v>
      </c>
      <c r="D11" s="553"/>
      <c r="E11" s="553"/>
      <c r="F11" s="492"/>
    </row>
    <row r="12" spans="1:6" ht="14.25" customHeight="1" x14ac:dyDescent="0.25">
      <c r="A12" s="138" t="s">
        <v>880</v>
      </c>
      <c r="B12" s="149">
        <f t="shared" ref="B12:B17" si="0">C12+D12</f>
        <v>454700</v>
      </c>
      <c r="C12" s="156">
        <f>C13+C14+C15+C16</f>
        <v>454700</v>
      </c>
      <c r="D12" s="156">
        <f>D13+D14+D15+D16</f>
        <v>0</v>
      </c>
      <c r="E12" s="156">
        <f>E13+E14+E15+E16</f>
        <v>100500</v>
      </c>
      <c r="F12" s="496"/>
    </row>
    <row r="13" spans="1:6" ht="11.85" customHeight="1" x14ac:dyDescent="0.25">
      <c r="A13" s="554" t="s">
        <v>792</v>
      </c>
      <c r="B13" s="552">
        <f t="shared" si="0"/>
        <v>49500</v>
      </c>
      <c r="C13" s="518">
        <f>150000*33%</f>
        <v>49500</v>
      </c>
      <c r="D13" s="518"/>
      <c r="E13" s="518">
        <f>150000*67%</f>
        <v>100500</v>
      </c>
      <c r="F13" s="497"/>
    </row>
    <row r="14" spans="1:6" ht="11.85" customHeight="1" x14ac:dyDescent="0.25">
      <c r="A14" s="555" t="s">
        <v>490</v>
      </c>
      <c r="B14" s="552">
        <f t="shared" si="0"/>
        <v>95400</v>
      </c>
      <c r="C14" s="532">
        <f>90*1060</f>
        <v>95400</v>
      </c>
      <c r="D14" s="554"/>
      <c r="E14" s="554"/>
      <c r="F14" s="498"/>
    </row>
    <row r="15" spans="1:6" ht="11.85" customHeight="1" x14ac:dyDescent="0.25">
      <c r="A15" s="605" t="s">
        <v>491</v>
      </c>
      <c r="B15" s="552">
        <f t="shared" si="0"/>
        <v>109800</v>
      </c>
      <c r="C15" s="532">
        <f>180*610</f>
        <v>109800</v>
      </c>
      <c r="D15" s="554"/>
      <c r="E15" s="554"/>
      <c r="F15" s="498"/>
    </row>
    <row r="16" spans="1:6" ht="32.85" customHeight="1" x14ac:dyDescent="0.25">
      <c r="A16" s="556" t="s">
        <v>847</v>
      </c>
      <c r="B16" s="552">
        <f t="shared" si="0"/>
        <v>200000</v>
      </c>
      <c r="C16" s="490">
        <f>20000*10</f>
        <v>200000</v>
      </c>
      <c r="D16" s="554"/>
      <c r="E16" s="554"/>
      <c r="F16" s="498"/>
    </row>
    <row r="17" spans="1:7" ht="15" customHeight="1" x14ac:dyDescent="0.25">
      <c r="A17" s="469" t="s">
        <v>147</v>
      </c>
      <c r="B17" s="149">
        <f t="shared" si="0"/>
        <v>0</v>
      </c>
      <c r="C17" s="126">
        <f>C18+C19+C20+C21+C22+C23+C24+C38+C39+C40+C41+C42+C43</f>
        <v>0</v>
      </c>
      <c r="D17" s="147"/>
      <c r="E17" s="126">
        <f>E18+E19+E20+E21+E22+E23+E24</f>
        <v>66950</v>
      </c>
      <c r="F17" s="499"/>
    </row>
    <row r="18" spans="1:7" s="560" customFormat="1" ht="11.85" customHeight="1" x14ac:dyDescent="0.2">
      <c r="A18" s="551" t="s">
        <v>140</v>
      </c>
      <c r="B18" s="552"/>
      <c r="C18" s="490">
        <v>0</v>
      </c>
      <c r="D18" s="553"/>
      <c r="E18" s="471">
        <f>10*G18</f>
        <v>2000</v>
      </c>
      <c r="F18" s="558"/>
      <c r="G18" s="559">
        <v>200</v>
      </c>
    </row>
    <row r="19" spans="1:7" s="560" customFormat="1" ht="11.85" customHeight="1" x14ac:dyDescent="0.2">
      <c r="A19" s="551" t="s">
        <v>141</v>
      </c>
      <c r="B19" s="552"/>
      <c r="C19" s="490">
        <v>0</v>
      </c>
      <c r="D19" s="553"/>
      <c r="E19" s="471">
        <f>10*G19</f>
        <v>450</v>
      </c>
      <c r="F19" s="558"/>
      <c r="G19" s="559">
        <v>45</v>
      </c>
    </row>
    <row r="20" spans="1:7" s="560" customFormat="1" ht="11.85" customHeight="1" x14ac:dyDescent="0.2">
      <c r="A20" s="551" t="s">
        <v>142</v>
      </c>
      <c r="B20" s="552"/>
      <c r="C20" s="490">
        <v>0</v>
      </c>
      <c r="D20" s="553"/>
      <c r="E20" s="471">
        <f>5*G20</f>
        <v>27500</v>
      </c>
      <c r="F20" s="558"/>
      <c r="G20" s="559">
        <v>5500</v>
      </c>
    </row>
    <row r="21" spans="1:7" s="560" customFormat="1" ht="11.85" customHeight="1" x14ac:dyDescent="0.2">
      <c r="A21" s="541" t="s">
        <v>143</v>
      </c>
      <c r="B21" s="552"/>
      <c r="C21" s="490">
        <v>0</v>
      </c>
      <c r="D21" s="553"/>
      <c r="E21" s="471">
        <f>5*G21</f>
        <v>5000</v>
      </c>
      <c r="F21" s="558"/>
      <c r="G21" s="559">
        <v>1000</v>
      </c>
    </row>
    <row r="22" spans="1:7" s="560" customFormat="1" ht="11.85" customHeight="1" x14ac:dyDescent="0.2">
      <c r="A22" s="541" t="s">
        <v>144</v>
      </c>
      <c r="B22" s="552"/>
      <c r="C22" s="490">
        <v>0</v>
      </c>
      <c r="D22" s="553"/>
      <c r="E22" s="471">
        <f>5*G22</f>
        <v>22500</v>
      </c>
      <c r="F22" s="558"/>
      <c r="G22" s="559">
        <v>4500</v>
      </c>
    </row>
    <row r="23" spans="1:7" s="560" customFormat="1" ht="11.85" customHeight="1" x14ac:dyDescent="0.2">
      <c r="A23" s="561" t="s">
        <v>145</v>
      </c>
      <c r="B23" s="552"/>
      <c r="C23" s="490">
        <v>0</v>
      </c>
      <c r="D23" s="553"/>
      <c r="E23" s="471">
        <f>3*G23</f>
        <v>1500</v>
      </c>
      <c r="F23" s="558"/>
      <c r="G23" s="559">
        <v>500</v>
      </c>
    </row>
    <row r="24" spans="1:7" s="560" customFormat="1" ht="11.85" customHeight="1" x14ac:dyDescent="0.2">
      <c r="A24" s="561" t="s">
        <v>146</v>
      </c>
      <c r="B24" s="552"/>
      <c r="C24" s="490">
        <v>0</v>
      </c>
      <c r="D24" s="553"/>
      <c r="E24" s="471">
        <f>10*G24</f>
        <v>8000</v>
      </c>
      <c r="F24" s="558"/>
      <c r="G24" s="559">
        <v>800</v>
      </c>
    </row>
    <row r="25" spans="1:7" ht="27.75" customHeight="1" x14ac:dyDescent="0.25">
      <c r="A25" s="159" t="s">
        <v>846</v>
      </c>
      <c r="B25" s="151"/>
      <c r="C25" s="87">
        <f>C35+C37</f>
        <v>0</v>
      </c>
      <c r="D25" s="87">
        <f>D35+D37</f>
        <v>0</v>
      </c>
      <c r="E25" s="87">
        <f>E27+E28+E29+E30+E31+E32+E33+E34+E35+E36+E37</f>
        <v>146100</v>
      </c>
      <c r="F25" s="500"/>
      <c r="G25" s="470"/>
    </row>
    <row r="26" spans="1:7" s="560" customFormat="1" ht="11.85" customHeight="1" x14ac:dyDescent="0.2">
      <c r="A26" s="562" t="s">
        <v>204</v>
      </c>
      <c r="B26" s="552"/>
      <c r="C26" s="490"/>
      <c r="D26" s="553"/>
      <c r="E26" s="471">
        <v>2500</v>
      </c>
      <c r="F26" s="563"/>
      <c r="G26" s="564"/>
    </row>
    <row r="27" spans="1:7" s="560" customFormat="1" ht="11.85" customHeight="1" x14ac:dyDescent="0.2">
      <c r="A27" s="551" t="s">
        <v>191</v>
      </c>
      <c r="B27" s="552"/>
      <c r="C27" s="490"/>
      <c r="D27" s="553"/>
      <c r="E27" s="565">
        <v>4150</v>
      </c>
      <c r="F27" s="563"/>
      <c r="G27" s="564"/>
    </row>
    <row r="28" spans="1:7" s="560" customFormat="1" ht="11.85" customHeight="1" x14ac:dyDescent="0.2">
      <c r="A28" s="551" t="s">
        <v>205</v>
      </c>
      <c r="B28" s="552"/>
      <c r="C28" s="490"/>
      <c r="D28" s="553"/>
      <c r="E28" s="471">
        <v>4950</v>
      </c>
      <c r="F28" s="563"/>
      <c r="G28" s="564"/>
    </row>
    <row r="29" spans="1:7" s="560" customFormat="1" ht="11.85" customHeight="1" x14ac:dyDescent="0.2">
      <c r="A29" s="551" t="s">
        <v>206</v>
      </c>
      <c r="B29" s="552"/>
      <c r="C29" s="490"/>
      <c r="D29" s="553"/>
      <c r="E29" s="471">
        <v>2500</v>
      </c>
      <c r="F29" s="563"/>
      <c r="G29" s="564"/>
    </row>
    <row r="30" spans="1:7" s="560" customFormat="1" ht="11.85" customHeight="1" x14ac:dyDescent="0.2">
      <c r="A30" s="706" t="s">
        <v>207</v>
      </c>
      <c r="B30" s="552"/>
      <c r="C30" s="490"/>
      <c r="D30" s="553"/>
      <c r="E30" s="471">
        <v>700</v>
      </c>
      <c r="F30" s="563"/>
      <c r="G30" s="564"/>
    </row>
    <row r="31" spans="1:7" s="560" customFormat="1" ht="11.85" customHeight="1" x14ac:dyDescent="0.2">
      <c r="A31" s="706" t="s">
        <v>208</v>
      </c>
      <c r="B31" s="552"/>
      <c r="C31" s="490"/>
      <c r="D31" s="553"/>
      <c r="E31" s="471">
        <f>3705*12</f>
        <v>44460</v>
      </c>
      <c r="F31" s="563"/>
      <c r="G31" s="564"/>
    </row>
    <row r="32" spans="1:7" s="560" customFormat="1" ht="11.85" customHeight="1" x14ac:dyDescent="0.2">
      <c r="A32" s="707" t="s">
        <v>213</v>
      </c>
      <c r="B32" s="552"/>
      <c r="C32" s="490"/>
      <c r="D32" s="553"/>
      <c r="E32" s="471">
        <f>700*12</f>
        <v>8400</v>
      </c>
      <c r="F32" s="563"/>
      <c r="G32" s="564"/>
    </row>
    <row r="33" spans="1:7" s="560" customFormat="1" ht="11.85" customHeight="1" x14ac:dyDescent="0.2">
      <c r="A33" s="553" t="s">
        <v>209</v>
      </c>
      <c r="B33" s="552"/>
      <c r="C33" s="490"/>
      <c r="D33" s="553"/>
      <c r="E33" s="471">
        <f>4670*6</f>
        <v>28020</v>
      </c>
      <c r="F33" s="563"/>
      <c r="G33" s="564"/>
    </row>
    <row r="34" spans="1:7" s="560" customFormat="1" ht="11.85" customHeight="1" x14ac:dyDescent="0.2">
      <c r="A34" s="553" t="s">
        <v>210</v>
      </c>
      <c r="B34" s="552"/>
      <c r="C34" s="490"/>
      <c r="D34" s="553"/>
      <c r="E34" s="471">
        <f>5600</f>
        <v>5600</v>
      </c>
      <c r="F34" s="563">
        <f>1250*20</f>
        <v>25000</v>
      </c>
      <c r="G34" s="564"/>
    </row>
    <row r="35" spans="1:7" s="560" customFormat="1" ht="11.85" customHeight="1" x14ac:dyDescent="0.2">
      <c r="A35" s="553" t="s">
        <v>211</v>
      </c>
      <c r="B35" s="552"/>
      <c r="C35" s="490"/>
      <c r="D35" s="553"/>
      <c r="E35" s="471">
        <f>1260*32</f>
        <v>40320</v>
      </c>
      <c r="F35" s="563"/>
      <c r="G35" s="564"/>
    </row>
    <row r="36" spans="1:7" s="560" customFormat="1" ht="11.85" customHeight="1" x14ac:dyDescent="0.2">
      <c r="A36" s="567" t="s">
        <v>212</v>
      </c>
      <c r="B36" s="552"/>
      <c r="C36" s="490"/>
      <c r="D36" s="553"/>
      <c r="E36" s="471">
        <v>5000</v>
      </c>
      <c r="F36" s="563"/>
      <c r="G36" s="564"/>
    </row>
    <row r="37" spans="1:7" s="560" customFormat="1" ht="11.85" customHeight="1" x14ac:dyDescent="0.2">
      <c r="A37" s="567" t="s">
        <v>216</v>
      </c>
      <c r="B37" s="552"/>
      <c r="C37" s="490"/>
      <c r="D37" s="553"/>
      <c r="E37" s="471">
        <v>2000</v>
      </c>
      <c r="F37" s="563"/>
      <c r="G37" s="564"/>
    </row>
    <row r="38" spans="1:7" ht="24.75" customHeight="1" x14ac:dyDescent="0.25">
      <c r="A38" s="159" t="s">
        <v>148</v>
      </c>
      <c r="B38" s="149">
        <f>C38+D38</f>
        <v>0</v>
      </c>
      <c r="C38" s="126">
        <f>C39+C40+C41+C42+C43+C44+C45+C46+C47+C48+C49+C50+C51</f>
        <v>0</v>
      </c>
      <c r="D38" s="144">
        <f>D39+D40+D41+D42+D43+D44+D45+D46+D47+D48+D49+D50+D52+D51+D53+D54+D55+D56+D57</f>
        <v>0</v>
      </c>
      <c r="E38" s="126">
        <f>E39+E40+E41+E42+E43+E44+E45+E46+E47+E48+E49+E50+E51+E52+E53+E54+E55+E56+E57</f>
        <v>294690</v>
      </c>
      <c r="F38" s="499"/>
      <c r="G38" s="470"/>
    </row>
    <row r="39" spans="1:7" s="560" customFormat="1" ht="11.85" customHeight="1" x14ac:dyDescent="0.2">
      <c r="A39" s="551" t="s">
        <v>190</v>
      </c>
      <c r="B39" s="552"/>
      <c r="C39" s="490"/>
      <c r="D39" s="553"/>
      <c r="E39" s="471">
        <f>[10]Комиссарова!$E$12</f>
        <v>2400</v>
      </c>
      <c r="F39" s="563"/>
      <c r="G39" s="564"/>
    </row>
    <row r="40" spans="1:7" s="560" customFormat="1" ht="11.85" customHeight="1" x14ac:dyDescent="0.2">
      <c r="A40" s="551" t="s">
        <v>149</v>
      </c>
      <c r="B40" s="552"/>
      <c r="C40" s="490"/>
      <c r="D40" s="553"/>
      <c r="E40" s="471">
        <f>[10]Комиссарова!$E$13</f>
        <v>5000</v>
      </c>
      <c r="F40" s="563"/>
      <c r="G40" s="564"/>
    </row>
    <row r="41" spans="1:7" s="560" customFormat="1" ht="11.85" customHeight="1" x14ac:dyDescent="0.2">
      <c r="A41" s="551" t="s">
        <v>150</v>
      </c>
      <c r="B41" s="552"/>
      <c r="C41" s="490"/>
      <c r="D41" s="553"/>
      <c r="E41" s="471">
        <f>[10]Комиссарова!$E$14</f>
        <v>10000</v>
      </c>
      <c r="F41" s="563"/>
      <c r="G41" s="564"/>
    </row>
    <row r="42" spans="1:7" s="560" customFormat="1" ht="11.85" customHeight="1" x14ac:dyDescent="0.2">
      <c r="A42" s="541" t="s">
        <v>151</v>
      </c>
      <c r="B42" s="552"/>
      <c r="C42" s="490"/>
      <c r="D42" s="553"/>
      <c r="E42" s="471">
        <f>[10]Комиссарова!$E$15</f>
        <v>20000</v>
      </c>
      <c r="F42" s="563"/>
      <c r="G42" s="564"/>
    </row>
    <row r="43" spans="1:7" s="560" customFormat="1" ht="11.85" customHeight="1" x14ac:dyDescent="0.2">
      <c r="A43" s="541" t="s">
        <v>152</v>
      </c>
      <c r="B43" s="552"/>
      <c r="C43" s="490"/>
      <c r="D43" s="553"/>
      <c r="E43" s="471">
        <f>[10]Комиссарова!$E$16</f>
        <v>6000</v>
      </c>
      <c r="F43" s="563"/>
      <c r="G43" s="564"/>
    </row>
    <row r="44" spans="1:7" s="560" customFormat="1" ht="11.85" customHeight="1" x14ac:dyDescent="0.2">
      <c r="A44" s="566" t="s">
        <v>153</v>
      </c>
      <c r="B44" s="552"/>
      <c r="C44" s="490"/>
      <c r="D44" s="553"/>
      <c r="E44" s="471">
        <f>[10]Комиссарова!$E$17</f>
        <v>10000</v>
      </c>
      <c r="F44" s="563"/>
      <c r="G44" s="564"/>
    </row>
    <row r="45" spans="1:7" s="560" customFormat="1" ht="11.85" customHeight="1" x14ac:dyDescent="0.2">
      <c r="A45" s="566" t="s">
        <v>154</v>
      </c>
      <c r="B45" s="552"/>
      <c r="C45" s="490"/>
      <c r="D45" s="553"/>
      <c r="E45" s="471">
        <f>[10]Комиссарова!$E$18</f>
        <v>2000</v>
      </c>
      <c r="F45" s="563"/>
      <c r="G45" s="564"/>
    </row>
    <row r="46" spans="1:7" s="560" customFormat="1" ht="11.85" customHeight="1" x14ac:dyDescent="0.2">
      <c r="A46" s="566" t="s">
        <v>155</v>
      </c>
      <c r="B46" s="552"/>
      <c r="C46" s="490"/>
      <c r="D46" s="553"/>
      <c r="E46" s="471">
        <f>[10]Комиссарова!$E$19</f>
        <v>1000</v>
      </c>
      <c r="F46" s="563"/>
      <c r="G46" s="564"/>
    </row>
    <row r="47" spans="1:7" s="560" customFormat="1" ht="11.85" customHeight="1" x14ac:dyDescent="0.2">
      <c r="A47" s="568" t="s">
        <v>156</v>
      </c>
      <c r="B47" s="552"/>
      <c r="C47" s="490"/>
      <c r="D47" s="553"/>
      <c r="E47" s="471">
        <f>[10]Комиссарова!$E$20</f>
        <v>40000</v>
      </c>
      <c r="F47" s="563"/>
      <c r="G47" s="564"/>
    </row>
    <row r="48" spans="1:7" s="560" customFormat="1" ht="11.85" customHeight="1" x14ac:dyDescent="0.2">
      <c r="A48" s="568" t="s">
        <v>180</v>
      </c>
      <c r="B48" s="552"/>
      <c r="C48" s="490"/>
      <c r="D48" s="553"/>
      <c r="E48" s="471">
        <f>[10]Комиссарова!$E$21</f>
        <v>50000</v>
      </c>
      <c r="F48" s="563"/>
      <c r="G48" s="564"/>
    </row>
    <row r="49" spans="1:7" s="560" customFormat="1" ht="11.85" customHeight="1" x14ac:dyDescent="0.2">
      <c r="A49" s="568" t="s">
        <v>181</v>
      </c>
      <c r="B49" s="552"/>
      <c r="C49" s="490"/>
      <c r="D49" s="553"/>
      <c r="E49" s="471">
        <f>[10]Комиссарова!$E$22</f>
        <v>11200</v>
      </c>
      <c r="F49" s="563"/>
      <c r="G49" s="564"/>
    </row>
    <row r="50" spans="1:7" s="560" customFormat="1" ht="11.85" customHeight="1" x14ac:dyDescent="0.2">
      <c r="A50" s="568" t="s">
        <v>182</v>
      </c>
      <c r="B50" s="552"/>
      <c r="C50" s="490"/>
      <c r="D50" s="553"/>
      <c r="E50" s="471">
        <f>[10]Комиссарова!$E$23</f>
        <v>4190</v>
      </c>
      <c r="F50" s="563"/>
      <c r="G50" s="564"/>
    </row>
    <row r="51" spans="1:7" s="560" customFormat="1" ht="11.85" customHeight="1" x14ac:dyDescent="0.2">
      <c r="A51" s="568" t="s">
        <v>183</v>
      </c>
      <c r="B51" s="552"/>
      <c r="C51" s="490"/>
      <c r="D51" s="553"/>
      <c r="E51" s="471">
        <f>[10]Комиссарова!$E$24</f>
        <v>1900</v>
      </c>
      <c r="F51" s="563"/>
      <c r="G51" s="564"/>
    </row>
    <row r="52" spans="1:7" s="560" customFormat="1" ht="11.85" customHeight="1" x14ac:dyDescent="0.2">
      <c r="A52" s="568" t="s">
        <v>184</v>
      </c>
      <c r="B52" s="552"/>
      <c r="C52" s="490"/>
      <c r="D52" s="553"/>
      <c r="E52" s="471">
        <f>[10]Комиссарова!$E$25</f>
        <v>17000</v>
      </c>
      <c r="F52" s="563"/>
      <c r="G52" s="564"/>
    </row>
    <row r="53" spans="1:7" s="560" customFormat="1" ht="11.85" customHeight="1" x14ac:dyDescent="0.2">
      <c r="A53" s="568" t="s">
        <v>185</v>
      </c>
      <c r="B53" s="552"/>
      <c r="C53" s="490"/>
      <c r="D53" s="553"/>
      <c r="E53" s="471">
        <f>[10]Комиссарова!$E$26</f>
        <v>4000</v>
      </c>
      <c r="F53" s="563"/>
      <c r="G53" s="564"/>
    </row>
    <row r="54" spans="1:7" s="560" customFormat="1" ht="11.85" customHeight="1" x14ac:dyDescent="0.2">
      <c r="A54" s="568" t="s">
        <v>186</v>
      </c>
      <c r="B54" s="552"/>
      <c r="C54" s="490"/>
      <c r="D54" s="553"/>
      <c r="E54" s="471">
        <f>[10]Комиссарова!$E$27</f>
        <v>10000</v>
      </c>
      <c r="F54" s="563"/>
      <c r="G54" s="564"/>
    </row>
    <row r="55" spans="1:7" s="560" customFormat="1" ht="11.85" customHeight="1" x14ac:dyDescent="0.2">
      <c r="A55" s="561" t="s">
        <v>187</v>
      </c>
      <c r="B55" s="552"/>
      <c r="C55" s="490"/>
      <c r="D55" s="553"/>
      <c r="E55" s="471">
        <f>[10]Комиссарова!$E$31</f>
        <v>40000</v>
      </c>
      <c r="F55" s="563"/>
      <c r="G55" s="564"/>
    </row>
    <row r="56" spans="1:7" s="560" customFormat="1" ht="11.85" customHeight="1" x14ac:dyDescent="0.2">
      <c r="A56" s="561" t="s">
        <v>188</v>
      </c>
      <c r="B56" s="552"/>
      <c r="C56" s="490"/>
      <c r="D56" s="553"/>
      <c r="E56" s="471">
        <f>[10]Комиссарова!$E$32</f>
        <v>30000</v>
      </c>
      <c r="F56" s="563"/>
      <c r="G56" s="564"/>
    </row>
    <row r="57" spans="1:7" s="560" customFormat="1" ht="11.85" customHeight="1" x14ac:dyDescent="0.2">
      <c r="A57" s="561" t="s">
        <v>189</v>
      </c>
      <c r="B57" s="552"/>
      <c r="C57" s="490"/>
      <c r="D57" s="553"/>
      <c r="E57" s="471">
        <f>[10]Комиссарова!$E$33</f>
        <v>30000</v>
      </c>
      <c r="F57" s="563"/>
      <c r="G57" s="564"/>
    </row>
    <row r="58" spans="1:7" ht="15" customHeight="1" x14ac:dyDescent="0.25">
      <c r="A58" s="159" t="s">
        <v>845</v>
      </c>
      <c r="B58" s="149">
        <f>C58+D58</f>
        <v>67175.61</v>
      </c>
      <c r="C58" s="126">
        <f>C59+C60+C61+C62+C63+C64+C65+C66+C67+C68+C69+C70+C71+C72</f>
        <v>67175.61</v>
      </c>
      <c r="D58" s="147"/>
      <c r="E58" s="126">
        <f>E59+E60+E61+E62+E63+E64+E65+E66+E67+E68+E69+E70+E71+E72</f>
        <v>343879.28</v>
      </c>
      <c r="F58" s="499"/>
      <c r="G58" s="470"/>
    </row>
    <row r="59" spans="1:7" s="560" customFormat="1" ht="11.85" customHeight="1" x14ac:dyDescent="0.2">
      <c r="A59" s="551" t="s">
        <v>191</v>
      </c>
      <c r="B59" s="552"/>
      <c r="C59" s="490"/>
      <c r="D59" s="553"/>
      <c r="E59" s="471">
        <f>3620</f>
        <v>3620</v>
      </c>
      <c r="F59" s="563"/>
      <c r="G59" s="564"/>
    </row>
    <row r="60" spans="1:7" s="560" customFormat="1" ht="11.85" customHeight="1" x14ac:dyDescent="0.2">
      <c r="A60" s="551" t="s">
        <v>192</v>
      </c>
      <c r="B60" s="552"/>
      <c r="C60" s="490"/>
      <c r="D60" s="553"/>
      <c r="E60" s="471"/>
      <c r="F60" s="563"/>
      <c r="G60" s="564"/>
    </row>
    <row r="61" spans="1:7" s="560" customFormat="1" ht="11.85" customHeight="1" x14ac:dyDescent="0.2">
      <c r="A61" s="551" t="s">
        <v>193</v>
      </c>
      <c r="B61" s="552"/>
      <c r="C61" s="490"/>
      <c r="D61" s="553"/>
      <c r="E61" s="471">
        <f>4900</f>
        <v>4900</v>
      </c>
      <c r="F61" s="563"/>
      <c r="G61" s="564"/>
    </row>
    <row r="62" spans="1:7" s="560" customFormat="1" ht="11.85" customHeight="1" x14ac:dyDescent="0.2">
      <c r="A62" s="541" t="s">
        <v>194</v>
      </c>
      <c r="B62" s="552"/>
      <c r="C62" s="490"/>
      <c r="D62" s="553"/>
      <c r="E62" s="471">
        <f>3620</f>
        <v>3620</v>
      </c>
      <c r="F62" s="563"/>
      <c r="G62" s="564"/>
    </row>
    <row r="63" spans="1:7" s="560" customFormat="1" ht="11.85" customHeight="1" x14ac:dyDescent="0.2">
      <c r="A63" s="541" t="s">
        <v>195</v>
      </c>
      <c r="B63" s="552"/>
      <c r="C63" s="490"/>
      <c r="D63" s="553"/>
      <c r="E63" s="471">
        <f>12000</f>
        <v>12000</v>
      </c>
      <c r="F63" s="563"/>
      <c r="G63" s="564"/>
    </row>
    <row r="64" spans="1:7" s="560" customFormat="1" ht="11.85" customHeight="1" x14ac:dyDescent="0.2">
      <c r="A64" s="541" t="s">
        <v>196</v>
      </c>
      <c r="B64" s="552"/>
      <c r="C64" s="490"/>
      <c r="D64" s="553"/>
      <c r="E64" s="471">
        <f>1500</f>
        <v>1500</v>
      </c>
      <c r="F64" s="563"/>
      <c r="G64" s="564"/>
    </row>
    <row r="65" spans="1:7" s="560" customFormat="1" ht="11.85" customHeight="1" x14ac:dyDescent="0.2">
      <c r="A65" s="566" t="s">
        <v>197</v>
      </c>
      <c r="B65" s="552"/>
      <c r="C65" s="471">
        <v>7605.61</v>
      </c>
      <c r="D65" s="553"/>
      <c r="E65" s="471">
        <f>560*11</f>
        <v>6160</v>
      </c>
      <c r="F65" s="563"/>
    </row>
    <row r="66" spans="1:7" s="560" customFormat="1" ht="11.85" customHeight="1" x14ac:dyDescent="0.2">
      <c r="A66" s="553" t="s">
        <v>198</v>
      </c>
      <c r="B66" s="552"/>
      <c r="C66" s="471">
        <f>2300*7</f>
        <v>16100</v>
      </c>
      <c r="D66" s="553"/>
      <c r="E66" s="471">
        <f>2300*89</f>
        <v>204700</v>
      </c>
      <c r="F66" s="563"/>
    </row>
    <row r="67" spans="1:7" s="560" customFormat="1" ht="11.85" customHeight="1" x14ac:dyDescent="0.2">
      <c r="A67" s="553" t="s">
        <v>199</v>
      </c>
      <c r="B67" s="552"/>
      <c r="C67" s="471">
        <f>1700*7</f>
        <v>11900</v>
      </c>
      <c r="D67" s="553"/>
      <c r="E67" s="471">
        <f>1700*11</f>
        <v>18700</v>
      </c>
      <c r="F67" s="563"/>
    </row>
    <row r="68" spans="1:7" s="560" customFormat="1" ht="11.85" customHeight="1" x14ac:dyDescent="0.2">
      <c r="A68" s="553" t="s">
        <v>200</v>
      </c>
      <c r="B68" s="552"/>
      <c r="C68" s="471">
        <f>1060*7</f>
        <v>7420</v>
      </c>
      <c r="D68" s="553"/>
      <c r="E68" s="471">
        <f>1060*11</f>
        <v>11660</v>
      </c>
      <c r="F68" s="563"/>
    </row>
    <row r="69" spans="1:7" s="560" customFormat="1" ht="11.85" customHeight="1" x14ac:dyDescent="0.2">
      <c r="A69" s="553" t="s">
        <v>201</v>
      </c>
      <c r="B69" s="552"/>
      <c r="C69" s="515">
        <f>300*7</f>
        <v>2100</v>
      </c>
      <c r="D69" s="553"/>
      <c r="E69" s="515">
        <f>300*86</f>
        <v>25800</v>
      </c>
      <c r="F69" s="569"/>
    </row>
    <row r="70" spans="1:7" s="560" customFormat="1" ht="11.85" customHeight="1" x14ac:dyDescent="0.2">
      <c r="A70" s="553" t="s">
        <v>202</v>
      </c>
      <c r="B70" s="552"/>
      <c r="C70" s="471">
        <f>3150*7</f>
        <v>22050</v>
      </c>
      <c r="D70" s="553"/>
      <c r="E70" s="471">
        <f>3150*11</f>
        <v>34650</v>
      </c>
      <c r="F70" s="563"/>
    </row>
    <row r="71" spans="1:7" s="560" customFormat="1" ht="11.85" customHeight="1" x14ac:dyDescent="0.2">
      <c r="A71" s="553" t="s">
        <v>203</v>
      </c>
      <c r="B71" s="552"/>
      <c r="C71" s="471"/>
      <c r="D71" s="553"/>
      <c r="E71" s="471">
        <f>450*25</f>
        <v>11250</v>
      </c>
      <c r="F71" s="563"/>
      <c r="G71" s="570"/>
    </row>
    <row r="72" spans="1:7" s="560" customFormat="1" ht="11.85" customHeight="1" x14ac:dyDescent="0.2">
      <c r="A72" s="553" t="s">
        <v>215</v>
      </c>
      <c r="B72" s="552"/>
      <c r="C72" s="490"/>
      <c r="D72" s="553"/>
      <c r="E72" s="471">
        <f>5319.28</f>
        <v>5319.28</v>
      </c>
      <c r="F72" s="563"/>
      <c r="G72" s="570"/>
    </row>
    <row r="73" spans="1:7" x14ac:dyDescent="0.25">
      <c r="A73" s="138" t="s">
        <v>882</v>
      </c>
      <c r="B73" s="148">
        <f t="shared" ref="B73:B82" si="1">C73+D73</f>
        <v>17645.41</v>
      </c>
      <c r="C73" s="126">
        <f>C74+C75+C76+C77</f>
        <v>17645.41</v>
      </c>
      <c r="D73" s="126">
        <f>D74+D75+D76+D77</f>
        <v>0</v>
      </c>
      <c r="E73" s="126">
        <v>115000</v>
      </c>
      <c r="F73" s="499"/>
    </row>
    <row r="74" spans="1:7" s="560" customFormat="1" ht="11.25" x14ac:dyDescent="0.2">
      <c r="A74" s="553" t="s">
        <v>774</v>
      </c>
      <c r="B74" s="571">
        <f t="shared" si="1"/>
        <v>14285.41</v>
      </c>
      <c r="C74" s="471">
        <f>14285.41</f>
        <v>14285.41</v>
      </c>
      <c r="D74" s="553"/>
      <c r="E74" s="553"/>
      <c r="F74" s="572"/>
    </row>
    <row r="75" spans="1:7" s="560" customFormat="1" ht="11.25" x14ac:dyDescent="0.2">
      <c r="A75" s="553" t="s">
        <v>775</v>
      </c>
      <c r="B75" s="571">
        <f t="shared" si="1"/>
        <v>2310</v>
      </c>
      <c r="C75" s="471">
        <v>2310</v>
      </c>
      <c r="D75" s="553"/>
      <c r="E75" s="553"/>
      <c r="F75" s="572"/>
    </row>
    <row r="76" spans="1:7" s="560" customFormat="1" ht="11.25" x14ac:dyDescent="0.2">
      <c r="A76" s="573" t="s">
        <v>217</v>
      </c>
      <c r="B76" s="571">
        <f t="shared" si="1"/>
        <v>1050</v>
      </c>
      <c r="C76" s="471">
        <v>1050</v>
      </c>
      <c r="D76" s="553"/>
      <c r="E76" s="553"/>
      <c r="F76" s="572"/>
    </row>
    <row r="77" spans="1:7" s="560" customFormat="1" ht="11.25" x14ac:dyDescent="0.2">
      <c r="A77" s="574" t="s">
        <v>214</v>
      </c>
      <c r="B77" s="571">
        <f t="shared" si="1"/>
        <v>0</v>
      </c>
      <c r="C77" s="471"/>
      <c r="D77" s="471"/>
      <c r="E77" s="471">
        <v>115000</v>
      </c>
      <c r="F77" s="563"/>
    </row>
    <row r="78" spans="1:7" x14ac:dyDescent="0.25">
      <c r="A78" s="131" t="s">
        <v>883</v>
      </c>
      <c r="B78" s="150">
        <f t="shared" si="1"/>
        <v>34000</v>
      </c>
      <c r="C78" s="132">
        <f>C79+C80</f>
        <v>34000</v>
      </c>
      <c r="D78" s="132">
        <f>D79+D80</f>
        <v>0</v>
      </c>
      <c r="E78" s="132"/>
      <c r="F78" s="502"/>
    </row>
    <row r="79" spans="1:7" s="560" customFormat="1" ht="11.25" x14ac:dyDescent="0.2">
      <c r="A79" s="553" t="s">
        <v>782</v>
      </c>
      <c r="B79" s="571">
        <f t="shared" si="1"/>
        <v>8000</v>
      </c>
      <c r="C79" s="471">
        <f>8000</f>
        <v>8000</v>
      </c>
      <c r="D79" s="553"/>
      <c r="E79" s="553"/>
      <c r="F79" s="572"/>
    </row>
    <row r="80" spans="1:7" s="560" customFormat="1" ht="11.25" x14ac:dyDescent="0.2">
      <c r="A80" s="553" t="s">
        <v>492</v>
      </c>
      <c r="B80" s="571">
        <f t="shared" si="1"/>
        <v>26000</v>
      </c>
      <c r="C80" s="471">
        <v>26000</v>
      </c>
      <c r="D80" s="553"/>
      <c r="E80" s="553"/>
      <c r="F80" s="572"/>
    </row>
    <row r="81" spans="1:8" x14ac:dyDescent="0.25">
      <c r="A81" s="138" t="s">
        <v>884</v>
      </c>
      <c r="B81" s="127">
        <f t="shared" si="1"/>
        <v>67870.429999999993</v>
      </c>
      <c r="C81" s="127">
        <f>C82</f>
        <v>67870.429999999993</v>
      </c>
      <c r="D81" s="147"/>
      <c r="E81" s="147"/>
      <c r="F81" s="501"/>
    </row>
    <row r="82" spans="1:8" s="560" customFormat="1" ht="11.25" x14ac:dyDescent="0.2">
      <c r="A82" s="553" t="s">
        <v>785</v>
      </c>
      <c r="B82" s="488">
        <f t="shared" si="1"/>
        <v>67870.429999999993</v>
      </c>
      <c r="C82" s="488">
        <v>67870.429999999993</v>
      </c>
      <c r="D82" s="553"/>
      <c r="E82" s="553"/>
      <c r="F82" s="572"/>
    </row>
    <row r="83" spans="1:8" x14ac:dyDescent="0.25">
      <c r="A83" s="131" t="s">
        <v>701</v>
      </c>
      <c r="B83" s="132">
        <f>C83+D83</f>
        <v>188395.13</v>
      </c>
      <c r="C83" s="132">
        <f>C84+C85+C86</f>
        <v>188395.13</v>
      </c>
      <c r="D83" s="132">
        <f>D84+D85+D86</f>
        <v>0</v>
      </c>
      <c r="E83" s="132"/>
      <c r="F83" s="502"/>
    </row>
    <row r="84" spans="1:8" s="560" customFormat="1" ht="11.25" x14ac:dyDescent="0.2">
      <c r="A84" s="575" t="s">
        <v>571</v>
      </c>
      <c r="B84" s="471">
        <f>C84+D84</f>
        <v>96395.13</v>
      </c>
      <c r="C84" s="488">
        <v>96395.13</v>
      </c>
      <c r="D84" s="553"/>
      <c r="E84" s="553"/>
      <c r="F84" s="572"/>
    </row>
    <row r="85" spans="1:8" ht="11.85" customHeight="1" x14ac:dyDescent="0.25">
      <c r="A85" s="554" t="s">
        <v>793</v>
      </c>
      <c r="B85" s="552">
        <f>C85+D85</f>
        <v>70000</v>
      </c>
      <c r="C85" s="490">
        <v>70000</v>
      </c>
      <c r="D85" s="554"/>
      <c r="E85" s="554"/>
      <c r="F85" s="498"/>
    </row>
    <row r="86" spans="1:8" ht="13.5" customHeight="1" x14ac:dyDescent="0.25">
      <c r="A86" s="556" t="s">
        <v>493</v>
      </c>
      <c r="B86" s="552">
        <f>C86+D86</f>
        <v>22000</v>
      </c>
      <c r="C86" s="490">
        <v>22000</v>
      </c>
      <c r="D86" s="557"/>
      <c r="E86" s="557"/>
      <c r="F86" s="499"/>
    </row>
    <row r="87" spans="1:8" x14ac:dyDescent="0.25">
      <c r="A87" s="124"/>
      <c r="B87" s="126">
        <f>B7+B12+B58+B73+B78+B81+B83</f>
        <v>879436.58</v>
      </c>
      <c r="C87" s="126">
        <f>C7+C12+C58+C73+C78+C81+C83</f>
        <v>879436.58</v>
      </c>
      <c r="D87" s="126">
        <f>D12+D17+D58+D73+D81+D83</f>
        <v>0</v>
      </c>
      <c r="E87" s="126">
        <f>E12+E17+E58+E73+E81+E83</f>
        <v>626329.28</v>
      </c>
      <c r="F87" s="499"/>
    </row>
    <row r="89" spans="1:8" x14ac:dyDescent="0.25">
      <c r="C89" s="163"/>
    </row>
    <row r="90" spans="1:8" x14ac:dyDescent="0.25">
      <c r="B90" s="186"/>
      <c r="C90" s="163"/>
    </row>
    <row r="91" spans="1:8" x14ac:dyDescent="0.25">
      <c r="C91" s="186"/>
    </row>
    <row r="92" spans="1:8" x14ac:dyDescent="0.25">
      <c r="A92" s="64" t="s">
        <v>824</v>
      </c>
      <c r="B92" s="64"/>
      <c r="C92" s="509"/>
      <c r="D92" s="509" t="s">
        <v>825</v>
      </c>
    </row>
    <row r="93" spans="1:8" x14ac:dyDescent="0.25">
      <c r="A93" s="68"/>
      <c r="B93" s="68"/>
      <c r="C93" s="68"/>
      <c r="D93" s="68"/>
    </row>
    <row r="94" spans="1:8" x14ac:dyDescent="0.25">
      <c r="A94" s="64" t="s">
        <v>99</v>
      </c>
      <c r="B94" s="64"/>
      <c r="C94" s="64"/>
      <c r="D94" s="64" t="s">
        <v>897</v>
      </c>
    </row>
    <row r="96" spans="1:8" x14ac:dyDescent="0.25">
      <c r="C96" s="186">
        <f>'[3]смета от 11.01.2012'!$C$32</f>
        <v>3218895.57</v>
      </c>
      <c r="F96" s="186">
        <f>C7</f>
        <v>49650</v>
      </c>
      <c r="G96">
        <v>16</v>
      </c>
      <c r="H96" s="76">
        <f>'[3]смета от 11.01.2012'!$F$32</f>
        <v>815144.67</v>
      </c>
    </row>
    <row r="97" spans="3:10" x14ac:dyDescent="0.25">
      <c r="F97" s="186">
        <f>C12</f>
        <v>454700</v>
      </c>
      <c r="G97">
        <v>15</v>
      </c>
      <c r="H97" s="76">
        <f>'[3]смета от 11.01.2012'!$E$32</f>
        <v>33.049999999999997</v>
      </c>
    </row>
    <row r="98" spans="3:10" x14ac:dyDescent="0.25">
      <c r="C98" s="186">
        <f>C87-C96</f>
        <v>-2339458.9900000002</v>
      </c>
      <c r="F98" s="186">
        <f>C73</f>
        <v>17645.41</v>
      </c>
      <c r="G98">
        <v>11</v>
      </c>
      <c r="H98">
        <f>'[3]смета от 11.01.2012'!$J$32</f>
        <v>42862.45</v>
      </c>
    </row>
    <row r="99" spans="3:10" x14ac:dyDescent="0.25">
      <c r="F99" s="145">
        <f>C82</f>
        <v>67870.429999999993</v>
      </c>
      <c r="G99">
        <v>5</v>
      </c>
      <c r="H99">
        <f>'[3]смета от 11.01.2012'!$H$32</f>
        <v>2682.76</v>
      </c>
    </row>
    <row r="100" spans="3:10" x14ac:dyDescent="0.25">
      <c r="F100" s="186">
        <f>C58+C83</f>
        <v>255570.74</v>
      </c>
      <c r="G100">
        <v>13</v>
      </c>
      <c r="H100" s="76">
        <f>'[3]смета от 11.01.2012'!$N$32</f>
        <v>16913.349999999999</v>
      </c>
      <c r="I100" s="76">
        <f>H100-F100</f>
        <v>-238657.39</v>
      </c>
      <c r="J100">
        <f>67175.61</f>
        <v>67175.61</v>
      </c>
    </row>
    <row r="101" spans="3:10" x14ac:dyDescent="0.25">
      <c r="F101" s="186">
        <f>C78</f>
        <v>34000</v>
      </c>
      <c r="G101">
        <v>10</v>
      </c>
    </row>
    <row r="102" spans="3:10" x14ac:dyDescent="0.25">
      <c r="F102" s="186">
        <f>C87-F96-F97-F98-F99-F100-F101</f>
        <v>0</v>
      </c>
    </row>
  </sheetData>
  <mergeCells count="5">
    <mergeCell ref="A5:A6"/>
    <mergeCell ref="B5:B6"/>
    <mergeCell ref="A3:E3"/>
    <mergeCell ref="C5:D5"/>
    <mergeCell ref="D6:E6"/>
  </mergeCells>
  <phoneticPr fontId="17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B5" sqref="B5"/>
    </sheetView>
  </sheetViews>
  <sheetFormatPr defaultRowHeight="15" x14ac:dyDescent="0.25"/>
  <cols>
    <col min="1" max="1" width="19.5703125" style="10" customWidth="1"/>
    <col min="2" max="2" width="12.28515625" style="10" customWidth="1"/>
    <col min="3" max="3" width="20.28515625" style="10" customWidth="1"/>
  </cols>
  <sheetData>
    <row r="1" spans="1:4" ht="65.25" customHeight="1" x14ac:dyDescent="0.25">
      <c r="A1" s="789" t="s">
        <v>247</v>
      </c>
      <c r="B1" s="795"/>
      <c r="C1" s="795"/>
    </row>
    <row r="3" spans="1:4" ht="60.75" customHeight="1" x14ac:dyDescent="0.25">
      <c r="A3" s="793" t="s">
        <v>730</v>
      </c>
      <c r="B3" s="791" t="s">
        <v>731</v>
      </c>
      <c r="C3" s="576" t="s">
        <v>751</v>
      </c>
    </row>
    <row r="4" spans="1:4" x14ac:dyDescent="0.25">
      <c r="A4" s="794"/>
      <c r="B4" s="792"/>
      <c r="C4" s="73" t="s">
        <v>668</v>
      </c>
    </row>
    <row r="5" spans="1:4" ht="14.25" customHeight="1" x14ac:dyDescent="0.25">
      <c r="A5" s="121" t="s">
        <v>248</v>
      </c>
      <c r="B5" s="714">
        <v>3334775</v>
      </c>
      <c r="C5" s="714">
        <v>3334775</v>
      </c>
    </row>
    <row r="6" spans="1:4" ht="25.5" customHeight="1" x14ac:dyDescent="0.25">
      <c r="A6" s="73" t="s">
        <v>828</v>
      </c>
      <c r="B6" s="715">
        <f>B5</f>
        <v>3334775</v>
      </c>
      <c r="C6" s="715">
        <f>C5</f>
        <v>3334775</v>
      </c>
    </row>
    <row r="10" spans="1:4" x14ac:dyDescent="0.25">
      <c r="A10" s="197" t="s">
        <v>824</v>
      </c>
      <c r="C10" s="196" t="s">
        <v>825</v>
      </c>
      <c r="D10" s="509"/>
    </row>
    <row r="11" spans="1:4" x14ac:dyDescent="0.25">
      <c r="A11" s="540"/>
      <c r="C11" s="550"/>
      <c r="D11" s="68"/>
    </row>
    <row r="12" spans="1:4" x14ac:dyDescent="0.25">
      <c r="A12" s="195" t="s">
        <v>99</v>
      </c>
      <c r="C12" s="713" t="s">
        <v>897</v>
      </c>
      <c r="D12" s="64"/>
    </row>
  </sheetData>
  <mergeCells count="3">
    <mergeCell ref="A1:C1"/>
    <mergeCell ref="A3:A4"/>
    <mergeCell ref="B3:B4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75"/>
  <sheetViews>
    <sheetView topLeftCell="A49" workbookViewId="0">
      <selection sqref="A1:G61"/>
    </sheetView>
  </sheetViews>
  <sheetFormatPr defaultRowHeight="15" x14ac:dyDescent="0.25"/>
  <cols>
    <col min="1" max="1" width="41.42578125" style="145" customWidth="1"/>
    <col min="2" max="2" width="12.7109375" style="145" bestFit="1" customWidth="1"/>
    <col min="3" max="3" width="11.5703125" style="145" customWidth="1"/>
    <col min="4" max="4" width="8.7109375" style="145" customWidth="1"/>
    <col min="5" max="5" width="8.5703125" style="145" customWidth="1"/>
    <col min="6" max="6" width="8.28515625" style="145" customWidth="1"/>
    <col min="7" max="7" width="14" style="145" customWidth="1"/>
    <col min="8" max="8" width="8.42578125" customWidth="1"/>
    <col min="9" max="9" width="9" hidden="1" customWidth="1"/>
    <col min="10" max="10" width="35.7109375" customWidth="1"/>
    <col min="11" max="11" width="12.5703125" customWidth="1"/>
    <col min="12" max="12" width="14.85546875" customWidth="1"/>
  </cols>
  <sheetData>
    <row r="3" spans="1:10" ht="42.2" customHeight="1" x14ac:dyDescent="0.25">
      <c r="A3" s="789" t="s">
        <v>498</v>
      </c>
      <c r="B3" s="789"/>
      <c r="C3" s="789"/>
      <c r="D3" s="789"/>
      <c r="E3" s="789"/>
      <c r="F3" s="789"/>
      <c r="G3" s="789"/>
    </row>
    <row r="4" spans="1:10" ht="14.25" customHeight="1" x14ac:dyDescent="0.25">
      <c r="A4" s="95"/>
      <c r="B4" s="72"/>
      <c r="C4" s="72"/>
      <c r="D4" s="72"/>
      <c r="E4" s="72"/>
      <c r="F4" s="95"/>
      <c r="G4" s="95"/>
    </row>
    <row r="5" spans="1:10" ht="38.25" customHeight="1" x14ac:dyDescent="0.25">
      <c r="A5" s="791" t="s">
        <v>826</v>
      </c>
      <c r="B5" s="791" t="s">
        <v>827</v>
      </c>
      <c r="C5" s="885" t="s">
        <v>898</v>
      </c>
      <c r="D5" s="886"/>
      <c r="E5" s="886"/>
      <c r="F5" s="887"/>
      <c r="G5" s="89" t="s">
        <v>662</v>
      </c>
    </row>
    <row r="6" spans="1:10" ht="13.5" customHeight="1" x14ac:dyDescent="0.25">
      <c r="A6" s="791"/>
      <c r="B6" s="791"/>
      <c r="C6" s="90" t="s">
        <v>601</v>
      </c>
      <c r="D6" s="903" t="s">
        <v>602</v>
      </c>
      <c r="E6" s="904"/>
      <c r="F6" s="905"/>
      <c r="G6" s="90" t="s">
        <v>602</v>
      </c>
    </row>
    <row r="7" spans="1:10" ht="13.5" customHeight="1" x14ac:dyDescent="0.25">
      <c r="A7" s="576"/>
      <c r="B7" s="576"/>
      <c r="C7" s="90"/>
      <c r="D7" s="519">
        <v>401102</v>
      </c>
      <c r="E7" s="519">
        <v>401202</v>
      </c>
      <c r="F7" s="519" t="s">
        <v>854</v>
      </c>
      <c r="G7" s="519" t="s">
        <v>854</v>
      </c>
    </row>
    <row r="8" spans="1:10" ht="27" customHeight="1" x14ac:dyDescent="0.25">
      <c r="A8" s="159" t="s">
        <v>807</v>
      </c>
      <c r="B8" s="156">
        <f t="shared" ref="B8:B17" si="0">C8+F8</f>
        <v>760562.18</v>
      </c>
      <c r="C8" s="116">
        <f>C9+C10+C11+C12+C13+C14+C15+C16+C17</f>
        <v>760562.18</v>
      </c>
      <c r="D8" s="116">
        <f>D10+D11+D12+D13+D14+D15+D16</f>
        <v>0</v>
      </c>
      <c r="E8" s="116">
        <f>E10+E11+E12+E13+E14+E15+E16</f>
        <v>0</v>
      </c>
      <c r="F8" s="116">
        <f>F10+F11+F12+F13+F14+F15+F16</f>
        <v>0</v>
      </c>
      <c r="G8" s="116">
        <f>G9+G10+G11+G12+G13+G14+G15+G16</f>
        <v>397591.34</v>
      </c>
    </row>
    <row r="9" spans="1:10" ht="13.5" customHeight="1" x14ac:dyDescent="0.25">
      <c r="A9" s="125" t="s">
        <v>904</v>
      </c>
      <c r="B9" s="157">
        <f>C9+G9</f>
        <v>107015.03</v>
      </c>
      <c r="C9" s="82">
        <f>K23+K24+K25+K26</f>
        <v>53421.06</v>
      </c>
      <c r="D9" s="603"/>
      <c r="E9" s="82"/>
      <c r="G9" s="82">
        <f>L24+L25+L26</f>
        <v>53593.97</v>
      </c>
    </row>
    <row r="10" spans="1:10" ht="13.5" customHeight="1" x14ac:dyDescent="0.25">
      <c r="A10" s="125" t="s">
        <v>682</v>
      </c>
      <c r="B10" s="157">
        <f t="shared" si="0"/>
        <v>121800</v>
      </c>
      <c r="C10" s="464">
        <f>290*420</f>
        <v>121800</v>
      </c>
      <c r="D10" s="464"/>
      <c r="E10" s="464"/>
      <c r="F10" s="82">
        <v>0</v>
      </c>
      <c r="G10" s="82"/>
    </row>
    <row r="11" spans="1:10" ht="14.25" customHeight="1" x14ac:dyDescent="0.25">
      <c r="A11" s="125" t="s">
        <v>808</v>
      </c>
      <c r="B11" s="157">
        <f t="shared" si="0"/>
        <v>26220</v>
      </c>
      <c r="C11" s="81">
        <v>26220</v>
      </c>
      <c r="D11" s="81"/>
      <c r="E11" s="81"/>
      <c r="F11" s="117"/>
      <c r="G11" s="117">
        <f>1600+4500+50000+30000+70000+30000</f>
        <v>186100</v>
      </c>
    </row>
    <row r="12" spans="1:10" ht="13.5" customHeight="1" x14ac:dyDescent="0.25">
      <c r="A12" s="125" t="s">
        <v>809</v>
      </c>
      <c r="B12" s="157">
        <f t="shared" si="0"/>
        <v>363801.42</v>
      </c>
      <c r="C12" s="82">
        <v>363801.42</v>
      </c>
      <c r="D12" s="82"/>
      <c r="E12" s="82"/>
      <c r="F12" s="82">
        <v>0</v>
      </c>
      <c r="G12" s="82">
        <f>30000+350000+100000-C12</f>
        <v>116198.58</v>
      </c>
    </row>
    <row r="13" spans="1:10" ht="13.5" customHeight="1" x14ac:dyDescent="0.25">
      <c r="A13" s="125" t="s">
        <v>791</v>
      </c>
      <c r="B13" s="157">
        <f t="shared" si="0"/>
        <v>14750</v>
      </c>
      <c r="C13" s="82">
        <f>14750</f>
        <v>14750</v>
      </c>
      <c r="D13" s="82"/>
      <c r="E13" s="82"/>
      <c r="F13" s="82">
        <v>0</v>
      </c>
      <c r="G13" s="82"/>
      <c r="J13" s="76"/>
    </row>
    <row r="14" spans="1:10" ht="13.5" customHeight="1" x14ac:dyDescent="0.25">
      <c r="A14" s="125" t="s">
        <v>574</v>
      </c>
      <c r="B14" s="157">
        <f t="shared" si="0"/>
        <v>34000</v>
      </c>
      <c r="C14" s="82">
        <f>34000</f>
        <v>34000</v>
      </c>
      <c r="D14" s="82"/>
      <c r="E14" s="82"/>
      <c r="F14" s="82">
        <v>0</v>
      </c>
      <c r="G14" s="82"/>
    </row>
    <row r="15" spans="1:10" ht="13.5" customHeight="1" x14ac:dyDescent="0.25">
      <c r="A15" s="125" t="s">
        <v>908</v>
      </c>
      <c r="B15" s="157">
        <f t="shared" si="0"/>
        <v>9576.6</v>
      </c>
      <c r="C15" s="81">
        <v>9576.6</v>
      </c>
      <c r="D15" s="81"/>
      <c r="E15" s="81"/>
      <c r="F15" s="117"/>
      <c r="G15" s="117"/>
    </row>
    <row r="16" spans="1:10" ht="13.5" customHeight="1" x14ac:dyDescent="0.25">
      <c r="A16" s="125" t="s">
        <v>903</v>
      </c>
      <c r="B16" s="157">
        <f t="shared" si="0"/>
        <v>20794.52</v>
      </c>
      <c r="C16" s="82">
        <f>14331.61+1956.9+3091.11+1414.9</f>
        <v>20794.52</v>
      </c>
      <c r="D16" s="82"/>
      <c r="E16" s="82"/>
      <c r="F16" s="82"/>
      <c r="G16" s="82">
        <f>29151.7+3973.1+6275.89+2298.1</f>
        <v>41698.79</v>
      </c>
    </row>
    <row r="17" spans="1:12" ht="13.5" customHeight="1" x14ac:dyDescent="0.25">
      <c r="A17" s="125" t="s">
        <v>269</v>
      </c>
      <c r="B17" s="157">
        <f t="shared" si="0"/>
        <v>116198.58</v>
      </c>
      <c r="C17" s="82">
        <v>116198.58</v>
      </c>
      <c r="D17" s="82"/>
      <c r="E17" s="82"/>
      <c r="F17" s="82"/>
      <c r="G17" s="82"/>
    </row>
    <row r="18" spans="1:12" ht="36" customHeight="1" x14ac:dyDescent="0.25">
      <c r="A18" s="160" t="s">
        <v>272</v>
      </c>
      <c r="B18" s="87">
        <f>C18+F18</f>
        <v>123200.93</v>
      </c>
      <c r="C18" s="116">
        <f>C19+C20+C21</f>
        <v>53562.93</v>
      </c>
      <c r="D18" s="116">
        <f>D19+D20+D21</f>
        <v>55710.400000000001</v>
      </c>
      <c r="E18" s="116">
        <f>E19+E20+E21</f>
        <v>13927.6</v>
      </c>
      <c r="F18" s="116">
        <f>F19+F20+F21</f>
        <v>69638</v>
      </c>
      <c r="G18" s="116">
        <f>G19+G20+G21</f>
        <v>0</v>
      </c>
      <c r="H18" s="76">
        <f>F18*80%-D19</f>
        <v>8105.02</v>
      </c>
      <c r="I18">
        <v>11</v>
      </c>
      <c r="J18" s="76"/>
    </row>
    <row r="19" spans="1:12" ht="15" customHeight="1" x14ac:dyDescent="0.25">
      <c r="A19" s="125" t="s">
        <v>904</v>
      </c>
      <c r="B19" s="146">
        <f>C19+F19</f>
        <v>71052.800000000003</v>
      </c>
      <c r="C19" s="81">
        <f>K28</f>
        <v>23447.42</v>
      </c>
      <c r="D19" s="81">
        <f>F19</f>
        <v>47605.38</v>
      </c>
      <c r="E19" s="81"/>
      <c r="F19" s="146">
        <f>L28</f>
        <v>47605.38</v>
      </c>
      <c r="G19" s="146"/>
      <c r="H19" s="76">
        <f>B19/12</f>
        <v>5921.07</v>
      </c>
    </row>
    <row r="20" spans="1:12" ht="15" customHeight="1" x14ac:dyDescent="0.25">
      <c r="A20" s="125" t="s">
        <v>908</v>
      </c>
      <c r="B20" s="146">
        <f>C20+F20</f>
        <v>32884.65</v>
      </c>
      <c r="C20" s="81">
        <v>10852.03</v>
      </c>
      <c r="D20" s="81">
        <f>8105.02</f>
        <v>8105.02</v>
      </c>
      <c r="E20" s="81">
        <f>22032.62-8105.02</f>
        <v>13927.6</v>
      </c>
      <c r="F20" s="146">
        <f>22032.9-0.28</f>
        <v>22032.62</v>
      </c>
      <c r="G20" s="146"/>
      <c r="H20">
        <f>F20/12</f>
        <v>1836.0516666666699</v>
      </c>
    </row>
    <row r="21" spans="1:12" ht="14.25" customHeight="1" x14ac:dyDescent="0.25">
      <c r="A21" s="125" t="s">
        <v>881</v>
      </c>
      <c r="B21" s="146">
        <f>C21+F21</f>
        <v>19263.48</v>
      </c>
      <c r="C21" s="81">
        <v>19263.48</v>
      </c>
      <c r="D21" s="81"/>
      <c r="E21" s="81"/>
      <c r="F21" s="146">
        <v>0</v>
      </c>
      <c r="G21" s="87"/>
      <c r="H21" s="76"/>
    </row>
    <row r="22" spans="1:12" ht="16.350000000000001" customHeight="1" x14ac:dyDescent="0.25">
      <c r="A22" s="160" t="s">
        <v>777</v>
      </c>
      <c r="B22" s="87">
        <f>C22+F22</f>
        <v>34075.68</v>
      </c>
      <c r="C22" s="116">
        <f>C23+C24+C25+C26</f>
        <v>11371.68</v>
      </c>
      <c r="D22" s="116">
        <f>D23+D24+D25+D26</f>
        <v>18163.2</v>
      </c>
      <c r="E22" s="116">
        <f>E23+E24+E25+E26</f>
        <v>4540.8</v>
      </c>
      <c r="F22" s="116">
        <f>F23+F24+F25+F26</f>
        <v>22704</v>
      </c>
      <c r="G22" s="116">
        <f>G23+G24+G25+G26</f>
        <v>0</v>
      </c>
      <c r="H22" s="76">
        <f>F22*80%</f>
        <v>18163.2</v>
      </c>
    </row>
    <row r="23" spans="1:12" ht="13.5" customHeight="1" x14ac:dyDescent="0.25">
      <c r="A23" s="125" t="s">
        <v>904</v>
      </c>
      <c r="B23" s="146">
        <f t="shared" ref="B23:B33" si="1">C23+F23</f>
        <v>22930.62</v>
      </c>
      <c r="C23" s="81">
        <f>K27</f>
        <v>7581.42</v>
      </c>
      <c r="D23" s="81">
        <f>18163.2-D24</f>
        <v>15349.2</v>
      </c>
      <c r="E23" s="81"/>
      <c r="F23" s="146">
        <f>D23+E23</f>
        <v>15349.2</v>
      </c>
      <c r="G23" s="146"/>
      <c r="J23" s="152" t="s">
        <v>795</v>
      </c>
      <c r="K23" s="84">
        <f>81891*33%</f>
        <v>27024.03</v>
      </c>
      <c r="L23" s="84">
        <f>81891*67%</f>
        <v>54866.97</v>
      </c>
    </row>
    <row r="24" spans="1:12" ht="12.95" customHeight="1" x14ac:dyDescent="0.25">
      <c r="A24" s="125" t="s">
        <v>908</v>
      </c>
      <c r="B24" s="146">
        <f t="shared" si="1"/>
        <v>4200</v>
      </c>
      <c r="C24" s="81">
        <f>4200*33%</f>
        <v>1386</v>
      </c>
      <c r="D24" s="81">
        <f>F24</f>
        <v>2814</v>
      </c>
      <c r="E24" s="81"/>
      <c r="F24" s="81">
        <f>4200*67%</f>
        <v>2814</v>
      </c>
      <c r="G24" s="81"/>
      <c r="J24" s="83" t="s">
        <v>796</v>
      </c>
      <c r="K24" s="119">
        <f>15490*33%</f>
        <v>5111.7</v>
      </c>
      <c r="L24" s="119">
        <f>15490*67%</f>
        <v>10378.299999999999</v>
      </c>
    </row>
    <row r="25" spans="1:12" ht="13.5" customHeight="1" x14ac:dyDescent="0.25">
      <c r="A25" s="125" t="s">
        <v>783</v>
      </c>
      <c r="B25" s="146">
        <f t="shared" si="1"/>
        <v>192</v>
      </c>
      <c r="C25" s="81">
        <f>192</f>
        <v>192</v>
      </c>
      <c r="D25" s="81"/>
      <c r="E25" s="81"/>
      <c r="F25" s="81"/>
      <c r="G25" s="81"/>
      <c r="J25" s="153" t="s">
        <v>797</v>
      </c>
      <c r="K25" s="84">
        <f>10968*33%</f>
        <v>3619.44</v>
      </c>
      <c r="L25" s="84">
        <f>10968*67%</f>
        <v>7348.56</v>
      </c>
    </row>
    <row r="26" spans="1:12" ht="12.2" customHeight="1" x14ac:dyDescent="0.25">
      <c r="A26" s="125" t="s">
        <v>881</v>
      </c>
      <c r="B26" s="146">
        <f t="shared" si="1"/>
        <v>6753.06</v>
      </c>
      <c r="C26" s="81">
        <v>2212.2600000000002</v>
      </c>
      <c r="D26" s="81"/>
      <c r="E26" s="81">
        <v>4540.8</v>
      </c>
      <c r="F26" s="146">
        <f>D26+E26</f>
        <v>4540.8</v>
      </c>
      <c r="G26" s="146"/>
      <c r="J26" s="153" t="s">
        <v>798</v>
      </c>
      <c r="K26" s="84">
        <f>53533*33%</f>
        <v>17665.89</v>
      </c>
      <c r="L26" s="84">
        <f>53533*67%</f>
        <v>35867.11</v>
      </c>
    </row>
    <row r="27" spans="1:12" ht="30" customHeight="1" x14ac:dyDescent="0.25">
      <c r="A27" s="160" t="s">
        <v>271</v>
      </c>
      <c r="B27" s="87">
        <f>C27+F27</f>
        <v>70900.91</v>
      </c>
      <c r="C27" s="116">
        <f>C28+C29+C30+C31+C32+C33</f>
        <v>29773.91</v>
      </c>
      <c r="D27" s="116">
        <f>D28+D29+D30+D31+D32+D33</f>
        <v>32901.599999999999</v>
      </c>
      <c r="E27" s="116">
        <f>E28+E29+E30+E31+E32+E33</f>
        <v>8225.4</v>
      </c>
      <c r="F27" s="116">
        <f>F28+F29+F30+F31+F32+F33</f>
        <v>41127</v>
      </c>
      <c r="G27" s="116">
        <f>G28+G29+G30+G31+G32+G33</f>
        <v>0</v>
      </c>
      <c r="H27" s="76">
        <f>F27*80%</f>
        <v>32901.599999999999</v>
      </c>
      <c r="J27" s="153" t="s">
        <v>799</v>
      </c>
      <c r="K27" s="84">
        <f>22974*33%</f>
        <v>7581.42</v>
      </c>
      <c r="L27" s="84">
        <f>22974*67%</f>
        <v>15392.58</v>
      </c>
    </row>
    <row r="28" spans="1:12" ht="12.95" customHeight="1" x14ac:dyDescent="0.25">
      <c r="A28" s="125" t="s">
        <v>911</v>
      </c>
      <c r="B28" s="146">
        <f t="shared" si="1"/>
        <v>4000</v>
      </c>
      <c r="C28" s="81">
        <v>4000</v>
      </c>
      <c r="D28" s="81"/>
      <c r="E28" s="81"/>
      <c r="F28" s="116">
        <v>0</v>
      </c>
      <c r="G28" s="116"/>
      <c r="J28" s="154" t="s">
        <v>800</v>
      </c>
      <c r="K28" s="84">
        <f>71052.8*33%</f>
        <v>23447.42</v>
      </c>
      <c r="L28" s="84">
        <f>71052.8*67%</f>
        <v>47605.38</v>
      </c>
    </row>
    <row r="29" spans="1:12" ht="12.95" customHeight="1" x14ac:dyDescent="0.25">
      <c r="A29" s="125" t="s">
        <v>904</v>
      </c>
      <c r="B29" s="146">
        <f t="shared" si="1"/>
        <v>57074.5</v>
      </c>
      <c r="C29" s="81">
        <f>K29</f>
        <v>18810</v>
      </c>
      <c r="D29" s="81">
        <f>32901.6</f>
        <v>32901.599999999999</v>
      </c>
      <c r="E29" s="81">
        <f>38264.5-32901.6</f>
        <v>5362.9</v>
      </c>
      <c r="F29" s="117">
        <f>L29-0.54</f>
        <v>38264.5</v>
      </c>
      <c r="G29" s="117"/>
      <c r="J29" s="83" t="s">
        <v>801</v>
      </c>
      <c r="K29" s="84">
        <f>(57000)*33%</f>
        <v>18810</v>
      </c>
      <c r="L29" s="84">
        <f>(57112)*67%</f>
        <v>38265.040000000001</v>
      </c>
    </row>
    <row r="30" spans="1:12" ht="12.95" customHeight="1" x14ac:dyDescent="0.25">
      <c r="A30" s="125" t="s">
        <v>908</v>
      </c>
      <c r="B30" s="146">
        <f t="shared" si="1"/>
        <v>3403.77</v>
      </c>
      <c r="C30" s="81">
        <v>1743.58</v>
      </c>
      <c r="D30" s="81"/>
      <c r="E30" s="81">
        <f>1660.19</f>
        <v>1660.19</v>
      </c>
      <c r="F30" s="117">
        <v>1660.19</v>
      </c>
      <c r="G30" s="117"/>
      <c r="J30" s="153" t="s">
        <v>811</v>
      </c>
      <c r="K30" s="84">
        <f>12600*33%</f>
        <v>4158</v>
      </c>
      <c r="L30" s="84">
        <f>12600*67%</f>
        <v>8442</v>
      </c>
    </row>
    <row r="31" spans="1:12" ht="12.95" customHeight="1" x14ac:dyDescent="0.25">
      <c r="A31" s="125" t="s">
        <v>783</v>
      </c>
      <c r="B31" s="146">
        <f t="shared" si="1"/>
        <v>2490.7600000000002</v>
      </c>
      <c r="C31" s="81">
        <v>2490.7600000000002</v>
      </c>
      <c r="D31" s="81"/>
      <c r="E31" s="81"/>
      <c r="F31" s="117">
        <v>0</v>
      </c>
      <c r="G31" s="117"/>
      <c r="J31" s="153" t="s">
        <v>802</v>
      </c>
      <c r="K31" s="84">
        <f>245000*33%</f>
        <v>80850</v>
      </c>
      <c r="L31" s="84">
        <f>245000*67%</f>
        <v>164150</v>
      </c>
    </row>
    <row r="32" spans="1:12" ht="12.95" customHeight="1" x14ac:dyDescent="0.25">
      <c r="A32" s="125" t="s">
        <v>881</v>
      </c>
      <c r="B32" s="146">
        <f t="shared" si="1"/>
        <v>1794.5</v>
      </c>
      <c r="C32" s="117">
        <f>1794.5*33%</f>
        <v>592.19000000000005</v>
      </c>
      <c r="D32" s="117"/>
      <c r="E32" s="117">
        <v>1202.31</v>
      </c>
      <c r="F32" s="117">
        <f>1794.5*67%-0.01</f>
        <v>1202.31</v>
      </c>
      <c r="G32" s="117"/>
      <c r="J32" s="153" t="s">
        <v>803</v>
      </c>
      <c r="K32" s="84">
        <f>40000*33%</f>
        <v>13200</v>
      </c>
      <c r="L32" s="84">
        <f>40000*67%</f>
        <v>26800</v>
      </c>
    </row>
    <row r="33" spans="1:12" ht="12.95" customHeight="1" x14ac:dyDescent="0.25">
      <c r="A33" s="125" t="s">
        <v>884</v>
      </c>
      <c r="B33" s="146">
        <f t="shared" si="1"/>
        <v>2137.38</v>
      </c>
      <c r="C33" s="81">
        <f>2137.38</f>
        <v>2137.38</v>
      </c>
      <c r="D33" s="81"/>
      <c r="E33" s="81"/>
      <c r="F33" s="84"/>
      <c r="G33" s="84"/>
      <c r="J33" s="155" t="s">
        <v>804</v>
      </c>
      <c r="K33" s="84">
        <v>16913.349999999999</v>
      </c>
      <c r="L33" s="84">
        <v>16913.349999999999</v>
      </c>
    </row>
    <row r="34" spans="1:12" ht="29.25" customHeight="1" x14ac:dyDescent="0.25">
      <c r="A34" s="120" t="s">
        <v>270</v>
      </c>
      <c r="B34" s="87">
        <f t="shared" ref="B34:B59" si="2">C34+F34</f>
        <v>80850</v>
      </c>
      <c r="C34" s="116">
        <f>C35</f>
        <v>80850</v>
      </c>
      <c r="D34" s="116"/>
      <c r="E34" s="116"/>
      <c r="F34" s="116">
        <f>F35</f>
        <v>0</v>
      </c>
      <c r="G34" s="116">
        <f>G35</f>
        <v>164150</v>
      </c>
      <c r="H34">
        <f>C27/12*3</f>
        <v>7443.4775</v>
      </c>
      <c r="J34" s="155" t="s">
        <v>805</v>
      </c>
      <c r="K34" s="117">
        <f>4*4*16000*33%</f>
        <v>84480</v>
      </c>
      <c r="L34" s="117">
        <f>4*4*16000*67%</f>
        <v>171520</v>
      </c>
    </row>
    <row r="35" spans="1:12" ht="15" customHeight="1" x14ac:dyDescent="0.25">
      <c r="A35" s="125" t="s">
        <v>904</v>
      </c>
      <c r="B35" s="146">
        <f t="shared" si="2"/>
        <v>80850</v>
      </c>
      <c r="C35" s="146">
        <f>K31</f>
        <v>80850</v>
      </c>
      <c r="D35" s="146"/>
      <c r="E35" s="146"/>
      <c r="F35" s="146"/>
      <c r="G35" s="117">
        <f>245000*67%</f>
        <v>164150</v>
      </c>
      <c r="J35" s="155" t="s">
        <v>806</v>
      </c>
      <c r="K35" s="84">
        <v>1012420.54</v>
      </c>
      <c r="L35" s="84"/>
    </row>
    <row r="36" spans="1:12" ht="18" customHeight="1" x14ac:dyDescent="0.25">
      <c r="A36" s="187" t="s">
        <v>575</v>
      </c>
      <c r="B36" s="87">
        <f t="shared" si="2"/>
        <v>16913.349999999999</v>
      </c>
      <c r="C36" s="126">
        <f>K33</f>
        <v>16913.349999999999</v>
      </c>
      <c r="D36" s="126"/>
      <c r="E36" s="126"/>
      <c r="F36" s="126">
        <v>0</v>
      </c>
      <c r="G36" s="126"/>
    </row>
    <row r="37" spans="1:12" ht="18" customHeight="1" x14ac:dyDescent="0.25">
      <c r="A37" s="187" t="s">
        <v>576</v>
      </c>
      <c r="B37" s="87">
        <f>B36</f>
        <v>16913.349999999999</v>
      </c>
      <c r="C37" s="126">
        <f>C36</f>
        <v>16913.349999999999</v>
      </c>
      <c r="D37" s="126"/>
      <c r="E37" s="126"/>
      <c r="F37" s="126">
        <v>0</v>
      </c>
      <c r="G37" s="126"/>
    </row>
    <row r="38" spans="1:12" ht="15" customHeight="1" x14ac:dyDescent="0.25">
      <c r="A38" s="187" t="s">
        <v>805</v>
      </c>
      <c r="B38" s="87">
        <f t="shared" si="2"/>
        <v>84480</v>
      </c>
      <c r="C38" s="126">
        <f>K34</f>
        <v>84480</v>
      </c>
      <c r="D38" s="126"/>
      <c r="E38" s="126"/>
      <c r="F38" s="126"/>
      <c r="G38" s="84">
        <f>4*4*16000*67%</f>
        <v>171520</v>
      </c>
    </row>
    <row r="39" spans="1:12" ht="15.75" customHeight="1" x14ac:dyDescent="0.25">
      <c r="A39" s="77" t="s">
        <v>779</v>
      </c>
      <c r="B39" s="87">
        <f t="shared" si="2"/>
        <v>2010032.47</v>
      </c>
      <c r="C39" s="116">
        <v>2010032.47</v>
      </c>
      <c r="D39" s="116"/>
      <c r="E39" s="116"/>
      <c r="F39" s="84">
        <v>0</v>
      </c>
      <c r="G39" s="84"/>
    </row>
    <row r="40" spans="1:12" ht="15.75" customHeight="1" x14ac:dyDescent="0.25">
      <c r="A40" s="77" t="s">
        <v>572</v>
      </c>
      <c r="B40" s="87">
        <f t="shared" si="2"/>
        <v>37179.370000000003</v>
      </c>
      <c r="C40" s="116">
        <f>37179.37</f>
        <v>37179.370000000003</v>
      </c>
      <c r="D40" s="116"/>
      <c r="E40" s="116"/>
      <c r="F40" s="84">
        <v>0</v>
      </c>
      <c r="G40" s="84"/>
    </row>
    <row r="41" spans="1:12" ht="27.75" customHeight="1" x14ac:dyDescent="0.25">
      <c r="A41" s="77" t="s">
        <v>273</v>
      </c>
      <c r="B41" s="87">
        <f t="shared" si="2"/>
        <v>26230.880000000001</v>
      </c>
      <c r="C41" s="116">
        <v>26230.880000000001</v>
      </c>
      <c r="D41" s="116"/>
      <c r="E41" s="116"/>
      <c r="F41" s="84">
        <v>0</v>
      </c>
      <c r="G41" s="84"/>
    </row>
    <row r="42" spans="1:12" ht="15" customHeight="1" x14ac:dyDescent="0.25">
      <c r="A42" s="77" t="s">
        <v>781</v>
      </c>
      <c r="B42" s="87">
        <f t="shared" si="2"/>
        <v>48095</v>
      </c>
      <c r="C42" s="84">
        <f>C43+C46+C51</f>
        <v>35577</v>
      </c>
      <c r="D42" s="84">
        <f>D43+D46</f>
        <v>10014.4</v>
      </c>
      <c r="E42" s="84">
        <f>E43+E46+E51</f>
        <v>2503.6</v>
      </c>
      <c r="F42" s="84">
        <f>D42+E42</f>
        <v>12518</v>
      </c>
      <c r="G42" s="84">
        <f>G43+G51</f>
        <v>52692.9</v>
      </c>
      <c r="H42">
        <v>12518</v>
      </c>
    </row>
    <row r="43" spans="1:12" x14ac:dyDescent="0.25">
      <c r="A43" s="125" t="s">
        <v>904</v>
      </c>
      <c r="B43" s="146">
        <f t="shared" si="2"/>
        <v>26918</v>
      </c>
      <c r="C43" s="82">
        <f>C44</f>
        <v>17820</v>
      </c>
      <c r="D43" s="464">
        <f>D44+D45</f>
        <v>9294.4</v>
      </c>
      <c r="E43" s="82"/>
      <c r="F43" s="464">
        <f>F44+F45</f>
        <v>9098</v>
      </c>
      <c r="G43" s="122">
        <f>G44+G45+G46+G47+G48+G49+G50</f>
        <v>30000</v>
      </c>
    </row>
    <row r="44" spans="1:12" x14ac:dyDescent="0.25">
      <c r="A44" s="468" t="s">
        <v>223</v>
      </c>
      <c r="B44" s="490">
        <f t="shared" si="2"/>
        <v>26118</v>
      </c>
      <c r="C44" s="489">
        <f>36*1500*33%</f>
        <v>17820</v>
      </c>
      <c r="D44" s="471">
        <f>10014.4-D45-D48</f>
        <v>8494.4</v>
      </c>
      <c r="E44" s="489"/>
      <c r="F44" s="471">
        <f>12600*67%-144</f>
        <v>8298</v>
      </c>
      <c r="G44" s="471">
        <f>12000+18000</f>
        <v>30000</v>
      </c>
    </row>
    <row r="45" spans="1:12" x14ac:dyDescent="0.25">
      <c r="A45" s="468" t="s">
        <v>481</v>
      </c>
      <c r="B45" s="490"/>
      <c r="C45" s="489"/>
      <c r="D45" s="471">
        <v>800</v>
      </c>
      <c r="E45" s="489"/>
      <c r="F45" s="471">
        <v>800</v>
      </c>
      <c r="G45" s="471"/>
    </row>
    <row r="46" spans="1:12" x14ac:dyDescent="0.25">
      <c r="A46" s="125" t="s">
        <v>908</v>
      </c>
      <c r="B46" s="146">
        <f t="shared" si="2"/>
        <v>4843.6000000000004</v>
      </c>
      <c r="C46" s="122">
        <f>C47+C48+C49+C50</f>
        <v>1620</v>
      </c>
      <c r="D46" s="122">
        <f>D47+D48+D49+D50</f>
        <v>720</v>
      </c>
      <c r="E46" s="122">
        <f>E47+E48+E49+E50</f>
        <v>2503.6</v>
      </c>
      <c r="F46" s="122">
        <f>F47+F48</f>
        <v>3223.6</v>
      </c>
      <c r="G46" s="122"/>
    </row>
    <row r="47" spans="1:12" x14ac:dyDescent="0.25">
      <c r="A47" s="487" t="s">
        <v>494</v>
      </c>
      <c r="B47" s="490">
        <f t="shared" si="2"/>
        <v>2503.6</v>
      </c>
      <c r="C47" s="489"/>
      <c r="D47" s="489"/>
      <c r="E47" s="489">
        <v>2503.6</v>
      </c>
      <c r="F47" s="489">
        <f>D47+E47</f>
        <v>2503.6</v>
      </c>
      <c r="G47" s="489"/>
      <c r="H47" s="504">
        <v>450</v>
      </c>
      <c r="J47" s="76">
        <f>C47+C48</f>
        <v>0</v>
      </c>
    </row>
    <row r="48" spans="1:12" x14ac:dyDescent="0.25">
      <c r="A48" s="488" t="s">
        <v>495</v>
      </c>
      <c r="B48" s="490">
        <f t="shared" si="2"/>
        <v>720</v>
      </c>
      <c r="C48" s="489"/>
      <c r="D48" s="489">
        <v>720</v>
      </c>
      <c r="E48" s="489"/>
      <c r="F48" s="489">
        <f>6*H48</f>
        <v>720</v>
      </c>
      <c r="G48" s="489"/>
      <c r="H48" s="504">
        <f>120</f>
        <v>120</v>
      </c>
      <c r="J48" s="76">
        <f>C46-J47</f>
        <v>1620</v>
      </c>
    </row>
    <row r="49" spans="1:12" x14ac:dyDescent="0.25">
      <c r="A49" s="488" t="s">
        <v>496</v>
      </c>
      <c r="B49" s="490">
        <f t="shared" si="2"/>
        <v>720</v>
      </c>
      <c r="C49" s="489">
        <v>720</v>
      </c>
      <c r="D49" s="489"/>
      <c r="E49" s="489"/>
      <c r="F49" s="489"/>
      <c r="G49" s="489"/>
      <c r="H49" s="504">
        <v>180</v>
      </c>
      <c r="J49" s="76">
        <f>C46-C47</f>
        <v>1620</v>
      </c>
    </row>
    <row r="50" spans="1:12" x14ac:dyDescent="0.25">
      <c r="A50" s="488" t="s">
        <v>497</v>
      </c>
      <c r="B50" s="490">
        <f t="shared" si="2"/>
        <v>900</v>
      </c>
      <c r="C50" s="489">
        <v>900</v>
      </c>
      <c r="D50" s="489"/>
      <c r="E50" s="489"/>
      <c r="F50" s="489"/>
      <c r="G50" s="489"/>
      <c r="H50" s="504">
        <v>150</v>
      </c>
    </row>
    <row r="51" spans="1:12" ht="15" customHeight="1" x14ac:dyDescent="0.25">
      <c r="A51" s="125" t="s">
        <v>139</v>
      </c>
      <c r="B51" s="465">
        <f t="shared" ref="B51:B58" si="3">C51+G51</f>
        <v>38829.9</v>
      </c>
      <c r="C51" s="466">
        <f>C52+C53+C54+C55+C56+C57+C58</f>
        <v>16137</v>
      </c>
      <c r="D51" s="466"/>
      <c r="E51" s="466"/>
      <c r="F51" s="466">
        <f>F52+F53+F54+F55+F56+F57+F58</f>
        <v>0</v>
      </c>
      <c r="G51" s="695">
        <f>G52+G53+G54+G55+G56+G57+G58</f>
        <v>22692.9</v>
      </c>
    </row>
    <row r="52" spans="1:12" ht="12.2" customHeight="1" x14ac:dyDescent="0.25">
      <c r="A52" s="468" t="s">
        <v>132</v>
      </c>
      <c r="B52" s="467">
        <f t="shared" si="3"/>
        <v>7062.5</v>
      </c>
      <c r="C52" s="135">
        <f>25*450*33%</f>
        <v>3712.5</v>
      </c>
      <c r="D52" s="135"/>
      <c r="E52" s="135"/>
      <c r="F52" s="147"/>
      <c r="G52" s="135">
        <f>25*200*67%</f>
        <v>3350</v>
      </c>
      <c r="H52" s="505">
        <v>200</v>
      </c>
      <c r="J52">
        <f>C48/6</f>
        <v>0</v>
      </c>
    </row>
    <row r="53" spans="1:12" ht="10.7" customHeight="1" x14ac:dyDescent="0.25">
      <c r="A53" s="468" t="s">
        <v>133</v>
      </c>
      <c r="B53" s="467">
        <f t="shared" si="3"/>
        <v>6250</v>
      </c>
      <c r="C53" s="135">
        <f>25*250*33%</f>
        <v>2062.5</v>
      </c>
      <c r="D53" s="135"/>
      <c r="E53" s="135"/>
      <c r="F53" s="147"/>
      <c r="G53" s="135">
        <f>25*250*67%</f>
        <v>4187.5</v>
      </c>
      <c r="H53" s="505">
        <v>250</v>
      </c>
    </row>
    <row r="54" spans="1:12" x14ac:dyDescent="0.25">
      <c r="A54" s="468" t="s">
        <v>134</v>
      </c>
      <c r="B54" s="467">
        <f t="shared" si="3"/>
        <v>10000</v>
      </c>
      <c r="C54" s="135">
        <f>25*400*33%</f>
        <v>3300</v>
      </c>
      <c r="D54" s="135"/>
      <c r="E54" s="135"/>
      <c r="F54" s="147"/>
      <c r="G54" s="135">
        <f>25*400*67%</f>
        <v>6700</v>
      </c>
      <c r="H54" s="505">
        <v>400</v>
      </c>
    </row>
    <row r="55" spans="1:12" ht="10.7" customHeight="1" x14ac:dyDescent="0.25">
      <c r="A55" s="468" t="s">
        <v>135</v>
      </c>
      <c r="B55" s="467">
        <f t="shared" si="3"/>
        <v>3000</v>
      </c>
      <c r="C55" s="135">
        <f>25*120*33%</f>
        <v>990</v>
      </c>
      <c r="D55" s="135"/>
      <c r="E55" s="135"/>
      <c r="F55" s="147"/>
      <c r="G55" s="135">
        <f>25*120*67%</f>
        <v>2010</v>
      </c>
      <c r="H55" s="505">
        <v>120</v>
      </c>
    </row>
    <row r="56" spans="1:12" x14ac:dyDescent="0.25">
      <c r="A56" s="468" t="s">
        <v>136</v>
      </c>
      <c r="B56" s="467">
        <f t="shared" si="3"/>
        <v>2415</v>
      </c>
      <c r="C56" s="135">
        <f>25*110*33%</f>
        <v>907.5</v>
      </c>
      <c r="D56" s="135"/>
      <c r="E56" s="135"/>
      <c r="F56" s="147"/>
      <c r="G56" s="135">
        <f>25*90*67%</f>
        <v>1507.5</v>
      </c>
      <c r="H56" s="505">
        <v>90</v>
      </c>
    </row>
    <row r="57" spans="1:12" ht="10.7" customHeight="1" x14ac:dyDescent="0.25">
      <c r="A57" s="468" t="s">
        <v>137</v>
      </c>
      <c r="B57" s="467">
        <f t="shared" si="3"/>
        <v>1250</v>
      </c>
      <c r="C57" s="135">
        <f>25*50*33%</f>
        <v>412.5</v>
      </c>
      <c r="D57" s="135"/>
      <c r="E57" s="135"/>
      <c r="F57" s="147"/>
      <c r="G57" s="135">
        <f>25*50*67%</f>
        <v>837.5</v>
      </c>
      <c r="H57" s="505">
        <v>50</v>
      </c>
    </row>
    <row r="58" spans="1:12" x14ac:dyDescent="0.25">
      <c r="A58" s="468" t="s">
        <v>138</v>
      </c>
      <c r="B58" s="467">
        <f t="shared" si="3"/>
        <v>8852.4</v>
      </c>
      <c r="C58" s="135">
        <f>12*1200*33%</f>
        <v>4752</v>
      </c>
      <c r="D58" s="135"/>
      <c r="E58" s="135"/>
      <c r="F58" s="147"/>
      <c r="G58" s="135">
        <f>12*510*67%</f>
        <v>4100.3999999999996</v>
      </c>
      <c r="H58" s="505">
        <v>510</v>
      </c>
    </row>
    <row r="59" spans="1:12" x14ac:dyDescent="0.25">
      <c r="A59" s="138" t="s">
        <v>812</v>
      </c>
      <c r="B59" s="87">
        <f t="shared" si="2"/>
        <v>9200</v>
      </c>
      <c r="C59" s="122">
        <f>10000*0%</f>
        <v>0</v>
      </c>
      <c r="D59" s="122">
        <f>9200*80%</f>
        <v>7360</v>
      </c>
      <c r="E59" s="122">
        <f>9200*20%</f>
        <v>1840</v>
      </c>
      <c r="F59" s="126">
        <f>10000*100%-800</f>
        <v>9200</v>
      </c>
      <c r="G59" s="126">
        <v>0</v>
      </c>
    </row>
    <row r="60" spans="1:12" x14ac:dyDescent="0.25">
      <c r="A60" s="124"/>
      <c r="B60" s="126">
        <f t="shared" ref="B60:G60" si="4">B8+B18+B22+B27+B34+B36+B37+B38+B39+B40+B41+B42+B59</f>
        <v>3318634.12</v>
      </c>
      <c r="C60" s="126">
        <f t="shared" si="4"/>
        <v>3163447.12</v>
      </c>
      <c r="D60" s="126">
        <f t="shared" si="4"/>
        <v>124149.6</v>
      </c>
      <c r="E60" s="126">
        <f t="shared" si="4"/>
        <v>31037.4</v>
      </c>
      <c r="F60" s="126">
        <f t="shared" si="4"/>
        <v>155187</v>
      </c>
      <c r="G60" s="126">
        <f t="shared" si="4"/>
        <v>785954.24</v>
      </c>
      <c r="H60" s="618">
        <f>F60*80%</f>
        <v>124149.6</v>
      </c>
    </row>
    <row r="61" spans="1:12" x14ac:dyDescent="0.25">
      <c r="F61" s="186"/>
      <c r="H61" s="76">
        <f>D60-H60</f>
        <v>0</v>
      </c>
    </row>
    <row r="62" spans="1:12" x14ac:dyDescent="0.25">
      <c r="A62" s="64" t="s">
        <v>824</v>
      </c>
      <c r="B62" s="64"/>
      <c r="C62" s="509"/>
      <c r="D62" s="509"/>
      <c r="E62" s="509"/>
      <c r="F62" s="509" t="s">
        <v>825</v>
      </c>
      <c r="H62" s="161">
        <v>16</v>
      </c>
      <c r="I62" s="161"/>
      <c r="J62" s="162">
        <f>C13+C28+C14</f>
        <v>52750</v>
      </c>
    </row>
    <row r="63" spans="1:12" x14ac:dyDescent="0.25">
      <c r="A63" s="68"/>
      <c r="B63" s="68"/>
      <c r="C63" s="68"/>
      <c r="D63" s="68"/>
      <c r="E63" s="68"/>
      <c r="F63" s="68"/>
      <c r="H63" s="161">
        <v>15</v>
      </c>
      <c r="I63" s="161"/>
      <c r="J63" s="162">
        <f>C9+C10+C11+C12+C19+C23+C29+C35+C36+C38+C43+C59</f>
        <v>815144.67</v>
      </c>
      <c r="K63">
        <v>815144.67</v>
      </c>
      <c r="L63" s="76">
        <f>K63-J63</f>
        <v>0</v>
      </c>
    </row>
    <row r="64" spans="1:12" x14ac:dyDescent="0.25">
      <c r="A64" s="64" t="s">
        <v>99</v>
      </c>
      <c r="B64" s="64"/>
      <c r="C64" s="64"/>
      <c r="D64" s="64"/>
      <c r="E64" s="64"/>
      <c r="F64" s="64" t="s">
        <v>897</v>
      </c>
      <c r="H64" s="161">
        <v>14</v>
      </c>
      <c r="I64" s="161"/>
      <c r="J64" s="162">
        <f>C37</f>
        <v>16913.349999999999</v>
      </c>
    </row>
    <row r="65" spans="1:12" x14ac:dyDescent="0.25">
      <c r="C65" s="436"/>
      <c r="H65" s="161">
        <v>10</v>
      </c>
      <c r="I65" s="161"/>
      <c r="J65" s="162">
        <f>C25+C31</f>
        <v>2682.76</v>
      </c>
    </row>
    <row r="66" spans="1:12" x14ac:dyDescent="0.25">
      <c r="B66" s="186"/>
      <c r="C66" s="436"/>
      <c r="H66" s="161">
        <v>5</v>
      </c>
      <c r="I66" s="161"/>
      <c r="J66" s="162">
        <f>C33</f>
        <v>2137.38</v>
      </c>
    </row>
    <row r="67" spans="1:12" x14ac:dyDescent="0.25">
      <c r="C67" s="186"/>
      <c r="D67" s="186"/>
      <c r="E67" s="186"/>
      <c r="H67" s="161">
        <v>8</v>
      </c>
      <c r="I67" s="161"/>
      <c r="J67" s="162">
        <f>C16+C21+C26+C32</f>
        <v>42862.45</v>
      </c>
    </row>
    <row r="68" spans="1:12" x14ac:dyDescent="0.25">
      <c r="A68" s="64"/>
      <c r="B68" s="64"/>
      <c r="C68" s="509"/>
      <c r="D68" s="509"/>
      <c r="E68" s="509"/>
      <c r="F68" s="509"/>
      <c r="H68" s="161">
        <v>11</v>
      </c>
      <c r="I68" s="161"/>
      <c r="J68" s="162">
        <f>C15+C20+C24+C30+C39+C41+C46</f>
        <v>2061441.56</v>
      </c>
      <c r="K68" s="76">
        <f>2233088.59</f>
        <v>2233088.59</v>
      </c>
      <c r="L68" s="76">
        <f>K68-J68</f>
        <v>171647.03</v>
      </c>
    </row>
    <row r="69" spans="1:12" x14ac:dyDescent="0.25">
      <c r="A69" s="68"/>
      <c r="B69" s="68"/>
      <c r="C69" s="68"/>
      <c r="D69" s="68"/>
      <c r="E69" s="68"/>
      <c r="F69" s="68"/>
      <c r="G69" s="186">
        <f>F60-D60-E60</f>
        <v>0</v>
      </c>
      <c r="H69" s="161">
        <v>13</v>
      </c>
      <c r="I69" s="161"/>
      <c r="J69" s="162">
        <f>C40+C51</f>
        <v>53316.37</v>
      </c>
    </row>
    <row r="70" spans="1:12" x14ac:dyDescent="0.25">
      <c r="A70" s="64"/>
      <c r="B70" s="64"/>
      <c r="C70" s="64"/>
      <c r="D70" s="64"/>
      <c r="E70" s="64"/>
      <c r="F70" s="64"/>
      <c r="G70" s="186"/>
      <c r="J70" s="76">
        <f>J62+J63+J64+J65+J66+J67+J68+J69</f>
        <v>3047248.54</v>
      </c>
    </row>
    <row r="71" spans="1:12" x14ac:dyDescent="0.25">
      <c r="J71" s="76">
        <f>J70-C60</f>
        <v>-116198.58</v>
      </c>
    </row>
    <row r="74" spans="1:12" x14ac:dyDescent="0.25">
      <c r="C74" s="186"/>
      <c r="D74" s="186"/>
      <c r="E74" s="186"/>
    </row>
    <row r="75" spans="1:12" x14ac:dyDescent="0.25">
      <c r="C75" s="186"/>
      <c r="D75" s="186"/>
      <c r="E75" s="186"/>
    </row>
  </sheetData>
  <mergeCells count="5">
    <mergeCell ref="A5:A6"/>
    <mergeCell ref="B5:B6"/>
    <mergeCell ref="A3:G3"/>
    <mergeCell ref="D6:F6"/>
    <mergeCell ref="C5:F5"/>
  </mergeCells>
  <phoneticPr fontId="17" type="noConversion"/>
  <pageMargins left="0.31496062992125984" right="0.11811023622047245" top="0" bottom="0" header="0" footer="0"/>
  <pageSetup paperSize="9" scale="85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topLeftCell="A3" workbookViewId="0">
      <selection activeCell="C52" sqref="C52"/>
    </sheetView>
  </sheetViews>
  <sheetFormatPr defaultRowHeight="15" x14ac:dyDescent="0.25"/>
  <cols>
    <col min="1" max="1" width="37.85546875" style="3" customWidth="1"/>
    <col min="2" max="2" width="11.42578125" style="3" customWidth="1"/>
    <col min="3" max="3" width="10" style="3" customWidth="1"/>
    <col min="4" max="4" width="14" style="3" customWidth="1"/>
    <col min="5" max="5" width="12.7109375" style="3" customWidth="1"/>
    <col min="6" max="6" width="8.42578125" customWidth="1"/>
    <col min="7" max="7" width="9" hidden="1" customWidth="1"/>
    <col min="8" max="8" width="35.7109375" customWidth="1"/>
    <col min="9" max="9" width="12.5703125" customWidth="1"/>
    <col min="10" max="10" width="14.85546875" customWidth="1"/>
  </cols>
  <sheetData>
    <row r="1" spans="1:10" x14ac:dyDescent="0.25">
      <c r="A1" s="3">
        <v>0</v>
      </c>
    </row>
    <row r="3" spans="1:10" ht="42.2" customHeight="1" x14ac:dyDescent="0.25">
      <c r="A3" s="789" t="s">
        <v>498</v>
      </c>
      <c r="B3" s="789"/>
      <c r="C3" s="789"/>
      <c r="D3" s="789"/>
      <c r="E3" s="72"/>
    </row>
    <row r="4" spans="1:10" ht="14.25" customHeight="1" x14ac:dyDescent="0.25">
      <c r="B4" s="72"/>
      <c r="C4" s="72"/>
    </row>
    <row r="5" spans="1:10" ht="41.25" customHeight="1" x14ac:dyDescent="0.25">
      <c r="A5" s="791" t="s">
        <v>826</v>
      </c>
      <c r="B5" s="885" t="s">
        <v>898</v>
      </c>
      <c r="C5" s="886"/>
      <c r="D5" s="887"/>
      <c r="E5" s="631"/>
    </row>
    <row r="6" spans="1:10" ht="13.5" customHeight="1" x14ac:dyDescent="0.25">
      <c r="A6" s="791"/>
      <c r="B6" s="903" t="s">
        <v>878</v>
      </c>
      <c r="C6" s="904"/>
      <c r="D6" s="905"/>
      <c r="E6" s="672"/>
    </row>
    <row r="7" spans="1:10" ht="13.5" customHeight="1" x14ac:dyDescent="0.25">
      <c r="A7" s="576"/>
      <c r="B7" s="519">
        <v>401101</v>
      </c>
      <c r="C7" s="519">
        <v>401201</v>
      </c>
      <c r="D7" s="519" t="s">
        <v>854</v>
      </c>
      <c r="E7" s="673"/>
    </row>
    <row r="8" spans="1:10" ht="15.75" customHeight="1" x14ac:dyDescent="0.25">
      <c r="A8" s="682" t="s">
        <v>776</v>
      </c>
      <c r="B8" s="116">
        <f>B9+B10+B11</f>
        <v>55710.400000000001</v>
      </c>
      <c r="C8" s="116">
        <f>C9+C10+C11</f>
        <v>13927.6</v>
      </c>
      <c r="D8" s="116">
        <f>D9+D10+D11</f>
        <v>69638</v>
      </c>
      <c r="E8" s="86"/>
      <c r="F8" s="76">
        <f>D8*80%-B9</f>
        <v>8105.02</v>
      </c>
      <c r="G8">
        <v>11</v>
      </c>
      <c r="H8" s="76"/>
    </row>
    <row r="9" spans="1:10" ht="15" customHeight="1" x14ac:dyDescent="0.25">
      <c r="A9" s="125" t="s">
        <v>904</v>
      </c>
      <c r="B9" s="81">
        <f>D9</f>
        <v>47605.38</v>
      </c>
      <c r="C9" s="81"/>
      <c r="D9" s="146">
        <f>J18</f>
        <v>47605.38</v>
      </c>
      <c r="E9" s="679">
        <f>B9/12</f>
        <v>3967.12</v>
      </c>
      <c r="F9" s="76" t="e">
        <f>#REF!/12</f>
        <v>#REF!</v>
      </c>
    </row>
    <row r="10" spans="1:10" ht="15" customHeight="1" x14ac:dyDescent="0.25">
      <c r="A10" s="125" t="s">
        <v>908</v>
      </c>
      <c r="B10" s="81">
        <f>8105.02</f>
        <v>8105.02</v>
      </c>
      <c r="C10" s="81">
        <f>22032.62-8105.02</f>
        <v>13927.6</v>
      </c>
      <c r="D10" s="146">
        <f>22032.9-0.28</f>
        <v>22032.62</v>
      </c>
      <c r="E10" s="679">
        <f>B10/12</f>
        <v>675.42</v>
      </c>
      <c r="F10">
        <f>D10/12</f>
        <v>1836.0516666666699</v>
      </c>
    </row>
    <row r="11" spans="1:10" ht="14.25" customHeight="1" x14ac:dyDescent="0.25">
      <c r="A11" s="125" t="s">
        <v>881</v>
      </c>
      <c r="B11" s="81"/>
      <c r="C11" s="81"/>
      <c r="D11" s="146">
        <v>0</v>
      </c>
      <c r="E11" s="679">
        <f>C10/12</f>
        <v>1160.6300000000001</v>
      </c>
      <c r="F11" s="76"/>
    </row>
    <row r="12" spans="1:10" ht="15" customHeight="1" x14ac:dyDescent="0.25">
      <c r="A12" s="682" t="s">
        <v>777</v>
      </c>
      <c r="B12" s="116">
        <f>B13+B14+B15+B16</f>
        <v>18163.2</v>
      </c>
      <c r="C12" s="116">
        <f>C13+C14+C15+C16</f>
        <v>4540.8</v>
      </c>
      <c r="D12" s="116">
        <f>D13+D14+D15+D16</f>
        <v>22704</v>
      </c>
      <c r="E12" s="86">
        <f>C10/12</f>
        <v>1160.6300000000001</v>
      </c>
      <c r="F12" s="76">
        <f>D12*80%</f>
        <v>18163.2</v>
      </c>
    </row>
    <row r="13" spans="1:10" ht="13.5" customHeight="1" x14ac:dyDescent="0.25">
      <c r="A13" s="125" t="s">
        <v>904</v>
      </c>
      <c r="B13" s="81">
        <f>18163.2-B14</f>
        <v>15349.2</v>
      </c>
      <c r="C13" s="81"/>
      <c r="D13" s="146">
        <f>B13+C13</f>
        <v>15349.2</v>
      </c>
      <c r="E13" s="679"/>
      <c r="H13" s="152" t="s">
        <v>795</v>
      </c>
      <c r="I13" s="84">
        <f>81891*33%</f>
        <v>27024.03</v>
      </c>
      <c r="J13" s="84">
        <f>81891*67%</f>
        <v>54866.97</v>
      </c>
    </row>
    <row r="14" spans="1:10" ht="12.95" customHeight="1" x14ac:dyDescent="0.25">
      <c r="A14" s="125" t="s">
        <v>908</v>
      </c>
      <c r="B14" s="81">
        <f>D14</f>
        <v>2814</v>
      </c>
      <c r="C14" s="81"/>
      <c r="D14" s="81">
        <f>4200*67%</f>
        <v>2814</v>
      </c>
      <c r="E14" s="497"/>
      <c r="H14" s="83" t="s">
        <v>796</v>
      </c>
      <c r="I14" s="119">
        <f>15490*33%</f>
        <v>5111.7</v>
      </c>
      <c r="J14" s="119">
        <f>15490*67%</f>
        <v>10378.299999999999</v>
      </c>
    </row>
    <row r="15" spans="1:10" ht="13.5" customHeight="1" x14ac:dyDescent="0.25">
      <c r="A15" s="125" t="s">
        <v>783</v>
      </c>
      <c r="B15" s="81"/>
      <c r="C15" s="81"/>
      <c r="D15" s="81"/>
      <c r="E15" s="497"/>
      <c r="H15" s="153" t="s">
        <v>797</v>
      </c>
      <c r="I15" s="84">
        <f>10968*33%</f>
        <v>3619.44</v>
      </c>
      <c r="J15" s="84">
        <f>10968*67%</f>
        <v>7348.56</v>
      </c>
    </row>
    <row r="16" spans="1:10" ht="12.2" customHeight="1" x14ac:dyDescent="0.25">
      <c r="A16" s="125" t="s">
        <v>881</v>
      </c>
      <c r="B16" s="81"/>
      <c r="C16" s="81">
        <v>4540.8</v>
      </c>
      <c r="D16" s="146">
        <f>B16+C16</f>
        <v>4540.8</v>
      </c>
      <c r="E16" s="679"/>
      <c r="H16" s="153" t="s">
        <v>798</v>
      </c>
      <c r="I16" s="84">
        <f>53533*33%</f>
        <v>17665.89</v>
      </c>
      <c r="J16" s="84">
        <f>53533*67%</f>
        <v>35867.11</v>
      </c>
    </row>
    <row r="17" spans="1:10" ht="14.25" customHeight="1" x14ac:dyDescent="0.25">
      <c r="A17" s="682" t="s">
        <v>778</v>
      </c>
      <c r="B17" s="116">
        <f>B18+B19+B20+B21+B22+B23</f>
        <v>32901.599999999999</v>
      </c>
      <c r="C17" s="116">
        <f>C18+C19+C20+C21+C22+C23</f>
        <v>8225.4</v>
      </c>
      <c r="D17" s="116">
        <f>D18+D19+D20+D21+D22+D23</f>
        <v>41127</v>
      </c>
      <c r="E17" s="86"/>
      <c r="F17" s="76">
        <f>D17*80%</f>
        <v>32901.599999999999</v>
      </c>
      <c r="H17" s="153" t="s">
        <v>799</v>
      </c>
      <c r="I17" s="84">
        <f>22974*33%</f>
        <v>7581.42</v>
      </c>
      <c r="J17" s="84">
        <f>22974*67%</f>
        <v>15392.58</v>
      </c>
    </row>
    <row r="18" spans="1:10" ht="12.95" customHeight="1" x14ac:dyDescent="0.25">
      <c r="A18" s="125" t="s">
        <v>911</v>
      </c>
      <c r="B18" s="81"/>
      <c r="C18" s="81"/>
      <c r="D18" s="116">
        <v>0</v>
      </c>
      <c r="E18" s="86"/>
      <c r="H18" s="154" t="s">
        <v>800</v>
      </c>
      <c r="I18" s="84">
        <f>71052.8*33%</f>
        <v>23447.42</v>
      </c>
      <c r="J18" s="84">
        <f>71052.8*67%</f>
        <v>47605.38</v>
      </c>
    </row>
    <row r="19" spans="1:10" ht="12.95" customHeight="1" x14ac:dyDescent="0.25">
      <c r="A19" s="125" t="s">
        <v>904</v>
      </c>
      <c r="B19" s="81">
        <f>32901.6</f>
        <v>32901.599999999999</v>
      </c>
      <c r="C19" s="81">
        <f>38264.5-32901.6</f>
        <v>5362.9</v>
      </c>
      <c r="D19" s="117">
        <f>J19-0.54</f>
        <v>38264.5</v>
      </c>
      <c r="E19" s="680"/>
      <c r="H19" s="83" t="s">
        <v>801</v>
      </c>
      <c r="I19" s="84">
        <f>(57000)*33%</f>
        <v>18810</v>
      </c>
      <c r="J19" s="84">
        <f>(57112)*67%</f>
        <v>38265.040000000001</v>
      </c>
    </row>
    <row r="20" spans="1:10" ht="12.95" customHeight="1" x14ac:dyDescent="0.25">
      <c r="A20" s="125" t="s">
        <v>908</v>
      </c>
      <c r="B20" s="81"/>
      <c r="C20" s="81">
        <f>1660.19</f>
        <v>1660.19</v>
      </c>
      <c r="D20" s="117">
        <v>1660.19</v>
      </c>
      <c r="E20" s="680"/>
      <c r="H20" s="153" t="s">
        <v>811</v>
      </c>
      <c r="I20" s="84">
        <f>12600*33%</f>
        <v>4158</v>
      </c>
      <c r="J20" s="84">
        <f>12600*67%</f>
        <v>8442</v>
      </c>
    </row>
    <row r="21" spans="1:10" ht="12.95" customHeight="1" x14ac:dyDescent="0.25">
      <c r="A21" s="125" t="s">
        <v>783</v>
      </c>
      <c r="B21" s="81"/>
      <c r="C21" s="81"/>
      <c r="D21" s="117">
        <v>0</v>
      </c>
      <c r="E21" s="680"/>
      <c r="H21" s="153" t="s">
        <v>802</v>
      </c>
      <c r="I21" s="84">
        <f>245000*33%</f>
        <v>80850</v>
      </c>
      <c r="J21" s="84">
        <f>245000*67%</f>
        <v>164150</v>
      </c>
    </row>
    <row r="22" spans="1:10" ht="12.95" customHeight="1" x14ac:dyDescent="0.25">
      <c r="A22" s="125" t="s">
        <v>881</v>
      </c>
      <c r="B22" s="117"/>
      <c r="C22" s="117">
        <v>1202.31</v>
      </c>
      <c r="D22" s="117">
        <f>1794.5*67%-0.01</f>
        <v>1202.31</v>
      </c>
      <c r="E22" s="680"/>
      <c r="H22" s="153" t="s">
        <v>803</v>
      </c>
      <c r="I22" s="84">
        <f>40000*33%</f>
        <v>13200</v>
      </c>
      <c r="J22" s="84">
        <f>40000*67%</f>
        <v>26800</v>
      </c>
    </row>
    <row r="23" spans="1:10" ht="12" customHeight="1" x14ac:dyDescent="0.25">
      <c r="A23" s="125" t="s">
        <v>884</v>
      </c>
      <c r="B23" s="81"/>
      <c r="C23" s="81"/>
      <c r="D23" s="84"/>
      <c r="E23" s="681"/>
      <c r="H23" s="155" t="s">
        <v>804</v>
      </c>
      <c r="I23" s="84">
        <v>16913.349999999999</v>
      </c>
      <c r="J23" s="84">
        <v>16913.349999999999</v>
      </c>
    </row>
    <row r="24" spans="1:10" ht="20.25" hidden="1" customHeight="1" x14ac:dyDescent="0.25">
      <c r="A24" s="120" t="s">
        <v>810</v>
      </c>
      <c r="B24" s="116"/>
      <c r="C24" s="116"/>
      <c r="D24" s="116">
        <f>D25</f>
        <v>0</v>
      </c>
      <c r="E24" s="86"/>
      <c r="H24" s="155" t="s">
        <v>805</v>
      </c>
      <c r="I24" s="117">
        <f>4*4*16000*33%</f>
        <v>84480</v>
      </c>
      <c r="J24" s="117">
        <f>4*4*16000*67%</f>
        <v>171520</v>
      </c>
    </row>
    <row r="25" spans="1:10" ht="15" hidden="1" customHeight="1" x14ac:dyDescent="0.25">
      <c r="A25" s="125" t="s">
        <v>904</v>
      </c>
      <c r="B25" s="146"/>
      <c r="C25" s="146"/>
      <c r="D25" s="146"/>
      <c r="E25" s="679"/>
      <c r="H25" s="155" t="s">
        <v>806</v>
      </c>
      <c r="I25" s="84">
        <v>1012420.54</v>
      </c>
      <c r="J25" s="84"/>
    </row>
    <row r="26" spans="1:10" ht="18" hidden="1" customHeight="1" x14ac:dyDescent="0.25">
      <c r="A26" s="187" t="s">
        <v>575</v>
      </c>
      <c r="B26" s="126"/>
      <c r="C26" s="126"/>
      <c r="D26" s="126">
        <v>0</v>
      </c>
      <c r="E26" s="499"/>
    </row>
    <row r="27" spans="1:10" ht="18" hidden="1" customHeight="1" x14ac:dyDescent="0.25">
      <c r="A27" s="187" t="s">
        <v>576</v>
      </c>
      <c r="B27" s="126"/>
      <c r="C27" s="126"/>
      <c r="D27" s="126">
        <v>0</v>
      </c>
      <c r="E27" s="499"/>
    </row>
    <row r="28" spans="1:10" ht="15" hidden="1" customHeight="1" x14ac:dyDescent="0.25">
      <c r="A28" s="187" t="s">
        <v>805</v>
      </c>
      <c r="B28" s="126"/>
      <c r="C28" s="126"/>
      <c r="D28" s="126"/>
      <c r="E28" s="499"/>
    </row>
    <row r="29" spans="1:10" ht="15.75" hidden="1" customHeight="1" x14ac:dyDescent="0.25">
      <c r="A29" s="77" t="s">
        <v>779</v>
      </c>
      <c r="B29" s="116"/>
      <c r="C29" s="116"/>
      <c r="D29" s="84">
        <v>0</v>
      </c>
      <c r="E29" s="681"/>
    </row>
    <row r="30" spans="1:10" ht="15.75" hidden="1" customHeight="1" x14ac:dyDescent="0.25">
      <c r="A30" s="77" t="s">
        <v>572</v>
      </c>
      <c r="B30" s="116"/>
      <c r="C30" s="116"/>
      <c r="D30" s="84">
        <v>0</v>
      </c>
      <c r="E30" s="681"/>
    </row>
    <row r="31" spans="1:10" ht="15.75" hidden="1" customHeight="1" x14ac:dyDescent="0.25">
      <c r="A31" s="77" t="s">
        <v>780</v>
      </c>
      <c r="B31" s="116"/>
      <c r="C31" s="116"/>
      <c r="D31" s="84">
        <v>0</v>
      </c>
      <c r="E31" s="681"/>
    </row>
    <row r="32" spans="1:10" ht="14.25" customHeight="1" x14ac:dyDescent="0.25">
      <c r="A32" s="659" t="s">
        <v>781</v>
      </c>
      <c r="B32" s="84">
        <f>B33+B36</f>
        <v>10014.4</v>
      </c>
      <c r="C32" s="84">
        <f>C33+C36</f>
        <v>2503.6</v>
      </c>
      <c r="D32" s="84">
        <f>D33+D36</f>
        <v>12518</v>
      </c>
      <c r="E32" s="681"/>
      <c r="F32">
        <v>12518</v>
      </c>
    </row>
    <row r="33" spans="1:15" x14ac:dyDescent="0.25">
      <c r="A33" s="125" t="s">
        <v>904</v>
      </c>
      <c r="B33" s="464">
        <f>B34+B35</f>
        <v>9294.4</v>
      </c>
      <c r="C33" s="82"/>
      <c r="D33" s="464">
        <f>B33</f>
        <v>9294.4</v>
      </c>
      <c r="E33" s="500"/>
    </row>
    <row r="34" spans="1:15" x14ac:dyDescent="0.25">
      <c r="A34" s="468" t="s">
        <v>223</v>
      </c>
      <c r="B34" s="471">
        <f>10014.4-B35-B38</f>
        <v>8494.4</v>
      </c>
      <c r="C34" s="489"/>
      <c r="D34" s="471">
        <f>12600*67%-144</f>
        <v>8298</v>
      </c>
      <c r="E34" s="563"/>
    </row>
    <row r="35" spans="1:15" x14ac:dyDescent="0.25">
      <c r="A35" s="468" t="s">
        <v>481</v>
      </c>
      <c r="B35" s="471">
        <v>800</v>
      </c>
      <c r="C35" s="489"/>
      <c r="D35" s="471">
        <v>800</v>
      </c>
      <c r="E35" s="563"/>
    </row>
    <row r="36" spans="1:15" x14ac:dyDescent="0.25">
      <c r="A36" s="125" t="s">
        <v>908</v>
      </c>
      <c r="B36" s="464">
        <f>B37+B38</f>
        <v>720</v>
      </c>
      <c r="C36" s="464">
        <f>C37</f>
        <v>2503.6</v>
      </c>
      <c r="D36" s="464">
        <f>D37+D38</f>
        <v>3223.6</v>
      </c>
      <c r="E36" s="500"/>
    </row>
    <row r="37" spans="1:15" x14ac:dyDescent="0.25">
      <c r="A37" s="487" t="s">
        <v>494</v>
      </c>
      <c r="B37" s="489"/>
      <c r="C37" s="489">
        <v>2503.6</v>
      </c>
      <c r="D37" s="489">
        <f>C37</f>
        <v>2503.6</v>
      </c>
      <c r="E37" s="504"/>
      <c r="F37" s="504">
        <v>450</v>
      </c>
      <c r="H37" s="76"/>
    </row>
    <row r="38" spans="1:15" x14ac:dyDescent="0.25">
      <c r="A38" s="488" t="s">
        <v>495</v>
      </c>
      <c r="B38" s="489">
        <v>720</v>
      </c>
      <c r="C38" s="489"/>
      <c r="D38" s="489">
        <f>6*F38</f>
        <v>720</v>
      </c>
      <c r="E38" s="504"/>
      <c r="F38" s="504">
        <f>120</f>
        <v>120</v>
      </c>
      <c r="H38" s="76"/>
    </row>
    <row r="39" spans="1:15" x14ac:dyDescent="0.25">
      <c r="A39" s="208" t="s">
        <v>812</v>
      </c>
      <c r="B39" s="464">
        <f>9200*80%</f>
        <v>7360</v>
      </c>
      <c r="C39" s="464">
        <f>9200*20%</f>
        <v>1840</v>
      </c>
      <c r="D39" s="126">
        <f>10000*100%-800</f>
        <v>9200</v>
      </c>
      <c r="E39" s="499"/>
    </row>
    <row r="40" spans="1:15" x14ac:dyDescent="0.25">
      <c r="A40" s="208"/>
      <c r="B40" s="126">
        <f>B8+B12+B17+B24+B26+B27+B28+B29+B30+B31+B32+B39</f>
        <v>124149.6</v>
      </c>
      <c r="C40" s="126">
        <f>C8+C12+C17+C24+C26+C27+C28+C29+C30+C31+C32+C39</f>
        <v>31037.4</v>
      </c>
      <c r="D40" s="126">
        <f>D8+D12+D17+D24+D26+D27+D28+D29+D30+D31+D32+D39</f>
        <v>155187</v>
      </c>
      <c r="E40" s="499"/>
    </row>
    <row r="41" spans="1:15" x14ac:dyDescent="0.25">
      <c r="F41" s="183">
        <f>3000*80%</f>
        <v>2400</v>
      </c>
      <c r="G41" s="68"/>
      <c r="H41" s="68"/>
      <c r="I41" s="68"/>
      <c r="J41" s="68"/>
      <c r="K41" s="68"/>
      <c r="L41" s="68"/>
      <c r="M41" s="68"/>
      <c r="N41" s="68"/>
      <c r="O41" s="68"/>
    </row>
    <row r="42" spans="1:15" x14ac:dyDescent="0.25">
      <c r="A42" s="64" t="s">
        <v>824</v>
      </c>
      <c r="B42" s="509"/>
      <c r="C42" s="509"/>
      <c r="D42" s="509" t="s">
        <v>825</v>
      </c>
      <c r="E42" s="509"/>
      <c r="F42" s="183">
        <f>3000*20%</f>
        <v>600</v>
      </c>
      <c r="G42" s="68"/>
      <c r="H42" s="183"/>
      <c r="I42" s="68"/>
      <c r="J42" s="68"/>
      <c r="K42" s="68"/>
      <c r="L42" s="68"/>
      <c r="M42" s="68"/>
      <c r="N42" s="68"/>
      <c r="O42" s="68"/>
    </row>
    <row r="43" spans="1:15" x14ac:dyDescent="0.25">
      <c r="A43" s="68"/>
      <c r="B43" s="68"/>
      <c r="C43" s="68"/>
      <c r="D43" s="68"/>
      <c r="E43" s="68"/>
      <c r="F43" s="68"/>
      <c r="G43" s="68"/>
      <c r="H43" s="183"/>
      <c r="I43" s="68"/>
      <c r="J43" s="183"/>
      <c r="K43" s="68"/>
      <c r="L43" s="68"/>
      <c r="M43" s="68"/>
      <c r="N43" s="68"/>
      <c r="O43" s="68"/>
    </row>
    <row r="44" spans="1:15" x14ac:dyDescent="0.25">
      <c r="A44" s="64" t="s">
        <v>99</v>
      </c>
      <c r="B44" s="64"/>
      <c r="C44" s="64"/>
      <c r="D44" s="64" t="s">
        <v>897</v>
      </c>
      <c r="E44" s="64"/>
      <c r="F44" s="68"/>
      <c r="G44" s="68"/>
      <c r="H44" s="183"/>
      <c r="I44" s="68"/>
      <c r="J44" s="68"/>
      <c r="K44" s="68"/>
      <c r="L44" s="68"/>
      <c r="M44" s="68"/>
      <c r="N44" s="68"/>
      <c r="O44" s="68"/>
    </row>
    <row r="45" spans="1:15" x14ac:dyDescent="0.25">
      <c r="F45" s="68"/>
      <c r="G45" s="68"/>
      <c r="H45" s="183"/>
      <c r="I45" s="68"/>
      <c r="J45" s="68"/>
      <c r="K45" s="68"/>
      <c r="L45" s="68"/>
      <c r="M45" s="68"/>
      <c r="N45" s="68"/>
      <c r="O45" s="68"/>
    </row>
    <row r="46" spans="1:15" x14ac:dyDescent="0.25">
      <c r="F46" s="183">
        <f>D12/12*3</f>
        <v>5676</v>
      </c>
      <c r="G46" s="68"/>
      <c r="H46" s="183"/>
      <c r="I46" s="68"/>
      <c r="J46" s="68"/>
      <c r="K46" s="68"/>
      <c r="L46" s="68"/>
      <c r="M46" s="68"/>
      <c r="N46" s="68"/>
      <c r="O46" s="68"/>
    </row>
    <row r="47" spans="1:15" x14ac:dyDescent="0.25">
      <c r="B47" s="616"/>
      <c r="C47" s="616"/>
      <c r="F47" s="68"/>
      <c r="G47" s="68"/>
      <c r="H47" s="183"/>
      <c r="I47" s="68"/>
      <c r="J47" s="68"/>
      <c r="K47" s="68"/>
      <c r="L47" s="68"/>
      <c r="M47" s="68"/>
      <c r="N47" s="68"/>
      <c r="O47" s="68"/>
    </row>
    <row r="48" spans="1:15" x14ac:dyDescent="0.25">
      <c r="A48" s="64"/>
      <c r="B48" s="509"/>
      <c r="C48" s="509"/>
      <c r="D48" s="509"/>
      <c r="E48" s="509"/>
      <c r="F48" s="68"/>
      <c r="G48" s="68"/>
      <c r="H48" s="183"/>
      <c r="I48" s="183"/>
      <c r="J48" s="183"/>
      <c r="K48" s="68"/>
      <c r="L48" s="68"/>
      <c r="M48" s="68"/>
      <c r="N48" s="68"/>
      <c r="O48" s="68"/>
    </row>
    <row r="49" spans="1:15" x14ac:dyDescent="0.25">
      <c r="A49" s="68"/>
      <c r="B49" s="68"/>
      <c r="C49" s="68"/>
      <c r="D49" s="68"/>
      <c r="E49" s="68"/>
      <c r="F49" s="68"/>
      <c r="G49" s="68"/>
      <c r="H49" s="183"/>
      <c r="I49" s="68"/>
      <c r="J49" s="68"/>
      <c r="K49" s="68"/>
      <c r="L49" s="68"/>
      <c r="M49" s="68"/>
      <c r="N49" s="68"/>
      <c r="O49" s="68"/>
    </row>
    <row r="50" spans="1:15" x14ac:dyDescent="0.25">
      <c r="A50" s="64"/>
      <c r="B50" s="64"/>
      <c r="C50" s="64"/>
      <c r="D50" s="64"/>
      <c r="E50" s="64"/>
      <c r="F50" s="68"/>
      <c r="G50" s="68"/>
      <c r="H50" s="183"/>
      <c r="I50" s="68"/>
      <c r="J50" s="68"/>
      <c r="K50" s="68"/>
      <c r="L50" s="68"/>
      <c r="M50" s="68"/>
      <c r="N50" s="68"/>
      <c r="O50" s="68"/>
    </row>
    <row r="51" spans="1:15" x14ac:dyDescent="0.25">
      <c r="C51" s="616">
        <f>C11+C16+C22</f>
        <v>5743.11</v>
      </c>
      <c r="F51" s="68"/>
      <c r="G51" s="68"/>
      <c r="H51" s="183"/>
      <c r="I51" s="68"/>
      <c r="J51" s="68"/>
      <c r="K51" s="68"/>
      <c r="L51" s="68"/>
      <c r="M51" s="68"/>
      <c r="N51" s="68"/>
      <c r="O51" s="68"/>
    </row>
    <row r="52" spans="1:15" x14ac:dyDescent="0.25">
      <c r="F52" s="68"/>
      <c r="G52" s="68"/>
      <c r="H52" s="68"/>
      <c r="I52" s="68"/>
      <c r="J52" s="68"/>
      <c r="K52" s="68"/>
      <c r="L52" s="68"/>
      <c r="M52" s="68"/>
      <c r="N52" s="68"/>
      <c r="O52" s="68"/>
    </row>
    <row r="53" spans="1:15" x14ac:dyDescent="0.25">
      <c r="F53" s="68"/>
      <c r="G53" s="68"/>
      <c r="H53" s="68"/>
      <c r="I53" s="68"/>
      <c r="J53" s="68"/>
      <c r="K53" s="68"/>
      <c r="L53" s="68"/>
      <c r="M53" s="68"/>
      <c r="N53" s="68"/>
      <c r="O53" s="68"/>
    </row>
    <row r="54" spans="1:15" x14ac:dyDescent="0.25">
      <c r="B54" s="616"/>
      <c r="C54" s="616"/>
    </row>
    <row r="55" spans="1:15" x14ac:dyDescent="0.25">
      <c r="B55" s="616"/>
      <c r="C55" s="616"/>
    </row>
  </sheetData>
  <mergeCells count="4">
    <mergeCell ref="A5:A6"/>
    <mergeCell ref="A3:D3"/>
    <mergeCell ref="B6:D6"/>
    <mergeCell ref="B5:D5"/>
  </mergeCells>
  <phoneticPr fontId="17" type="noConversion"/>
  <pageMargins left="0.31496062992125984" right="0.11811023622047245" top="0" bottom="0" header="0" footer="0"/>
  <pageSetup paperSize="9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"/>
  <sheetViews>
    <sheetView topLeftCell="A10" workbookViewId="0">
      <selection sqref="A1:J17"/>
    </sheetView>
  </sheetViews>
  <sheetFormatPr defaultRowHeight="15" x14ac:dyDescent="0.25"/>
  <cols>
    <col min="1" max="1" width="7.140625" style="145" customWidth="1"/>
    <col min="2" max="2" width="10.28515625" style="145" customWidth="1"/>
    <col min="3" max="3" width="10.7109375" style="145" customWidth="1"/>
    <col min="4" max="4" width="9.28515625" style="145" customWidth="1"/>
    <col min="5" max="5" width="10.140625" style="145" customWidth="1"/>
    <col min="6" max="6" width="9.42578125" style="145" customWidth="1"/>
    <col min="7" max="7" width="9.140625" style="145" customWidth="1"/>
    <col min="8" max="8" width="8.42578125" style="145" customWidth="1"/>
    <col min="9" max="9" width="9.28515625" style="145" bestFit="1" customWidth="1"/>
    <col min="10" max="10" width="10.7109375" style="145" customWidth="1"/>
    <col min="12" max="13" width="11.42578125" style="95" customWidth="1"/>
    <col min="14" max="14" width="12.28515625" style="95" customWidth="1"/>
    <col min="15" max="15" width="13.140625" style="95" customWidth="1"/>
    <col min="16" max="16" width="12.140625" customWidth="1"/>
    <col min="17" max="17" width="13.5703125" bestFit="1" customWidth="1"/>
    <col min="21" max="21" width="8" style="145" customWidth="1"/>
    <col min="22" max="22" width="23.85546875" style="145" customWidth="1"/>
    <col min="23" max="23" width="6.85546875" style="145" customWidth="1"/>
    <col min="24" max="24" width="3.5703125" customWidth="1"/>
    <col min="25" max="25" width="8.140625" customWidth="1"/>
    <col min="26" max="26" width="23.140625" customWidth="1"/>
    <col min="27" max="27" width="7.85546875" customWidth="1"/>
  </cols>
  <sheetData>
    <row r="1" spans="1:27" x14ac:dyDescent="0.25">
      <c r="A1" s="935" t="s">
        <v>744</v>
      </c>
      <c r="B1" s="935"/>
      <c r="C1" s="935"/>
      <c r="D1" s="935"/>
      <c r="E1" s="935"/>
      <c r="F1" s="935"/>
      <c r="G1" s="935"/>
      <c r="H1" s="935"/>
      <c r="I1" s="935"/>
      <c r="J1" s="935"/>
    </row>
    <row r="2" spans="1:27" ht="19.5" customHeight="1" x14ac:dyDescent="0.25">
      <c r="A2" s="127" t="s">
        <v>67</v>
      </c>
      <c r="B2" s="914" t="s">
        <v>23</v>
      </c>
      <c r="C2" s="914"/>
      <c r="D2" s="914"/>
      <c r="E2" s="938" t="s">
        <v>610</v>
      </c>
      <c r="F2" s="914" t="s">
        <v>66</v>
      </c>
      <c r="G2" s="914"/>
      <c r="H2" s="914"/>
      <c r="I2" s="938" t="s">
        <v>611</v>
      </c>
      <c r="J2" s="936" t="s">
        <v>821</v>
      </c>
      <c r="L2" s="852" t="s">
        <v>636</v>
      </c>
      <c r="M2" s="852"/>
      <c r="N2" s="852"/>
      <c r="O2" s="852"/>
      <c r="U2" s="3"/>
      <c r="V2" s="3"/>
      <c r="W2" s="3"/>
    </row>
    <row r="3" spans="1:27" x14ac:dyDescent="0.25">
      <c r="A3" s="127"/>
      <c r="B3" s="127">
        <v>401101</v>
      </c>
      <c r="C3" s="127">
        <v>401102</v>
      </c>
      <c r="D3" s="127">
        <v>401103</v>
      </c>
      <c r="E3" s="939"/>
      <c r="F3" s="127">
        <v>401201</v>
      </c>
      <c r="G3" s="127">
        <v>401202</v>
      </c>
      <c r="H3" s="127">
        <v>401203</v>
      </c>
      <c r="I3" s="939"/>
      <c r="J3" s="937"/>
      <c r="L3" s="124" t="s">
        <v>858</v>
      </c>
      <c r="M3" s="433">
        <f>M4/O4*100</f>
        <v>78</v>
      </c>
      <c r="N3" s="433">
        <f>N4/O4*100</f>
        <v>22</v>
      </c>
      <c r="O3" s="433">
        <f>M3+N3</f>
        <v>100</v>
      </c>
      <c r="U3" s="3"/>
      <c r="V3" s="3"/>
      <c r="W3" s="3"/>
    </row>
    <row r="4" spans="1:27" x14ac:dyDescent="0.25">
      <c r="A4" s="127">
        <v>211</v>
      </c>
      <c r="B4" s="425">
        <f>'211,213'!B10</f>
        <v>8748684</v>
      </c>
      <c r="C4" s="425">
        <f>'211,213'!C11</f>
        <v>8039964</v>
      </c>
      <c r="D4" s="147"/>
      <c r="E4" s="425">
        <f>B4+C4+D4</f>
        <v>16788648</v>
      </c>
      <c r="F4" s="425">
        <f>'211,213'!D8</f>
        <v>2387700</v>
      </c>
      <c r="G4" s="425">
        <f>'211,213'!E9</f>
        <v>2007648</v>
      </c>
      <c r="H4" s="147"/>
      <c r="I4" s="425">
        <f>F4+G4+H4</f>
        <v>4395348</v>
      </c>
      <c r="J4" s="142">
        <f>B4+C4+D4+F4+G4+H4</f>
        <v>21183996</v>
      </c>
      <c r="L4" s="208"/>
      <c r="M4" s="208">
        <v>473</v>
      </c>
      <c r="N4" s="208">
        <v>131</v>
      </c>
      <c r="O4" s="208">
        <f>M4+N4</f>
        <v>604</v>
      </c>
      <c r="Q4" s="143"/>
      <c r="U4" s="3"/>
      <c r="V4" s="3"/>
      <c r="W4" s="3"/>
    </row>
    <row r="5" spans="1:27" ht="26.25" customHeight="1" x14ac:dyDescent="0.25">
      <c r="A5" s="127">
        <v>212</v>
      </c>
      <c r="B5" s="147"/>
      <c r="C5" s="425">
        <f>O10*80%</f>
        <v>71040</v>
      </c>
      <c r="D5" s="147"/>
      <c r="E5" s="425">
        <f t="shared" ref="E5:E14" si="0">B5+C5+D5</f>
        <v>71040</v>
      </c>
      <c r="F5" s="147"/>
      <c r="G5" s="425">
        <f>O10*20%</f>
        <v>17760</v>
      </c>
      <c r="H5" s="147"/>
      <c r="I5" s="425">
        <f t="shared" ref="I5:I14" si="1">F5+G5+H5</f>
        <v>17760</v>
      </c>
      <c r="J5" s="142">
        <f>B5+C5+D5+F5+G5+H5</f>
        <v>88800</v>
      </c>
      <c r="L5" s="208"/>
      <c r="M5" s="434" t="s">
        <v>861</v>
      </c>
      <c r="N5" s="434" t="s">
        <v>862</v>
      </c>
      <c r="O5" s="136" t="s">
        <v>863</v>
      </c>
      <c r="U5" s="3"/>
      <c r="V5" s="3"/>
      <c r="W5" s="3"/>
    </row>
    <row r="6" spans="1:27" ht="16.7" customHeight="1" x14ac:dyDescent="0.25">
      <c r="A6" s="127">
        <v>213</v>
      </c>
      <c r="B6" s="425">
        <f>'211,213'!B30</f>
        <v>2642102.5699999998</v>
      </c>
      <c r="C6" s="425">
        <f>'211,213'!C31</f>
        <v>1921051.96</v>
      </c>
      <c r="D6" s="147"/>
      <c r="E6" s="425">
        <f t="shared" si="0"/>
        <v>4563154.53</v>
      </c>
      <c r="F6" s="425">
        <f>'211,213'!D28</f>
        <v>721085.4</v>
      </c>
      <c r="G6" s="425">
        <f>'211,213'!E29</f>
        <v>473570.19</v>
      </c>
      <c r="H6" s="147"/>
      <c r="I6" s="425">
        <f t="shared" si="1"/>
        <v>1194655.5900000001</v>
      </c>
      <c r="J6" s="142">
        <f t="shared" ref="J6:J14" si="2">B6+C6+D6+F6+G6+H6</f>
        <v>5757810.1200000001</v>
      </c>
      <c r="L6" s="427" t="s">
        <v>125</v>
      </c>
      <c r="M6" s="446"/>
      <c r="N6" s="446"/>
      <c r="O6" s="447">
        <f>32867974</f>
        <v>32867974</v>
      </c>
      <c r="U6" s="3"/>
      <c r="V6" s="3"/>
      <c r="W6" s="3"/>
    </row>
    <row r="7" spans="1:27" x14ac:dyDescent="0.25">
      <c r="A7" s="127">
        <v>221</v>
      </c>
      <c r="B7" s="425"/>
      <c r="C7" s="425">
        <f>'221 Б'!B17</f>
        <v>65315.199999999997</v>
      </c>
      <c r="D7" s="147"/>
      <c r="E7" s="425">
        <f t="shared" si="0"/>
        <v>65315.199999999997</v>
      </c>
      <c r="F7" s="425"/>
      <c r="G7" s="425">
        <f>'221 Б'!C17</f>
        <v>16328.8</v>
      </c>
      <c r="H7" s="147"/>
      <c r="I7" s="425">
        <f t="shared" si="1"/>
        <v>16328.8</v>
      </c>
      <c r="J7" s="142">
        <f t="shared" si="2"/>
        <v>81644</v>
      </c>
      <c r="L7" s="124">
        <v>211</v>
      </c>
      <c r="M7" s="423">
        <f>'расчет з.п.базового уровня'!S11</f>
        <v>8748684</v>
      </c>
      <c r="N7" s="423">
        <f>'расчет з.п.повышенного уровня'!T11</f>
        <v>2387700</v>
      </c>
      <c r="O7" s="424">
        <f>M7+N7</f>
        <v>11136384</v>
      </c>
      <c r="P7">
        <f>9187285.29+266210.03+1639.87</f>
        <v>9455135.1899999995</v>
      </c>
      <c r="Q7" s="76">
        <f>P7-O7</f>
        <v>-1681248.81</v>
      </c>
      <c r="U7" s="3"/>
      <c r="V7" s="3"/>
      <c r="W7" s="3"/>
    </row>
    <row r="8" spans="1:27" x14ac:dyDescent="0.25">
      <c r="A8" s="127">
        <v>222</v>
      </c>
      <c r="B8" s="147"/>
      <c r="C8" s="425">
        <f>'222 ОБЩАЯ'!D17</f>
        <v>18337.599999999999</v>
      </c>
      <c r="D8" s="147"/>
      <c r="E8" s="425">
        <f t="shared" si="0"/>
        <v>18337.599999999999</v>
      </c>
      <c r="F8" s="147"/>
      <c r="G8" s="425">
        <f>'222 ОБЩАЯ'!E17</f>
        <v>4584.3999999999996</v>
      </c>
      <c r="H8" s="147"/>
      <c r="I8" s="425">
        <f t="shared" si="1"/>
        <v>4584.3999999999996</v>
      </c>
      <c r="J8" s="142">
        <f t="shared" si="2"/>
        <v>22922</v>
      </c>
      <c r="L8" s="147">
        <v>211</v>
      </c>
      <c r="M8" s="425">
        <f>'расчет з.п.базового уровня'!S21</f>
        <v>8039964</v>
      </c>
      <c r="N8" s="425">
        <f>'расчет з.п.повышенного уровня'!T21</f>
        <v>2007648</v>
      </c>
      <c r="O8" s="422">
        <f>M8+N8</f>
        <v>10047612</v>
      </c>
      <c r="P8" s="76">
        <f>11980349.72</f>
        <v>11980349.720000001</v>
      </c>
      <c r="Q8" s="76">
        <f>P8-O8</f>
        <v>1932737.72</v>
      </c>
      <c r="R8" s="76"/>
      <c r="U8" s="3"/>
      <c r="V8" s="3"/>
      <c r="W8" s="3"/>
    </row>
    <row r="9" spans="1:27" x14ac:dyDescent="0.25">
      <c r="A9" s="127">
        <v>223</v>
      </c>
      <c r="B9" s="147"/>
      <c r="C9" s="425">
        <f>'223 Б'!B9</f>
        <v>2286277.31</v>
      </c>
      <c r="D9" s="425">
        <f>'223 Б'!C9</f>
        <v>955439.17</v>
      </c>
      <c r="E9" s="425">
        <f t="shared" si="0"/>
        <v>3241716.48</v>
      </c>
      <c r="F9" s="425"/>
      <c r="G9" s="425">
        <f>'223 Б'!D9</f>
        <v>571569.32999999996</v>
      </c>
      <c r="H9" s="425">
        <f>'223 Б'!E9</f>
        <v>238859.79</v>
      </c>
      <c r="I9" s="425">
        <f t="shared" si="1"/>
        <v>810429.12</v>
      </c>
      <c r="J9" s="142">
        <f t="shared" si="2"/>
        <v>4052145.6</v>
      </c>
      <c r="L9" s="420" t="s">
        <v>639</v>
      </c>
      <c r="M9" s="426">
        <f>M7+M8</f>
        <v>16788648</v>
      </c>
      <c r="N9" s="426">
        <f>N7+N8</f>
        <v>4395348</v>
      </c>
      <c r="O9" s="426">
        <f>O7+O8</f>
        <v>21183996</v>
      </c>
      <c r="P9" s="449">
        <f>SUM(P7:P8)</f>
        <v>21435484.91</v>
      </c>
      <c r="Q9" s="450">
        <f>P9-O9</f>
        <v>251489</v>
      </c>
      <c r="R9" s="76"/>
      <c r="U9" s="3"/>
      <c r="V9" s="3"/>
      <c r="W9" s="3"/>
    </row>
    <row r="10" spans="1:27" x14ac:dyDescent="0.25">
      <c r="A10" s="127">
        <v>225</v>
      </c>
      <c r="B10" s="147"/>
      <c r="C10" s="425">
        <f>'225 Б'!B22</f>
        <v>92516.97</v>
      </c>
      <c r="D10" s="147"/>
      <c r="E10" s="425">
        <f t="shared" si="0"/>
        <v>92516.97</v>
      </c>
      <c r="F10" s="147"/>
      <c r="G10" s="425">
        <f>'225 Б'!C22</f>
        <v>23129.23</v>
      </c>
      <c r="H10" s="147"/>
      <c r="I10" s="425">
        <f t="shared" si="1"/>
        <v>23129.23</v>
      </c>
      <c r="J10" s="142">
        <f t="shared" si="2"/>
        <v>115646.2</v>
      </c>
      <c r="L10" s="124">
        <v>212</v>
      </c>
      <c r="M10" s="423">
        <f>O10/O4*M4</f>
        <v>69540.399999999994</v>
      </c>
      <c r="N10" s="423">
        <f>O10/O4*N4</f>
        <v>19259.599999999999</v>
      </c>
      <c r="O10" s="424">
        <f>74*100*12</f>
        <v>88800</v>
      </c>
      <c r="P10" s="76"/>
      <c r="U10" s="3"/>
      <c r="V10" s="3"/>
      <c r="W10" s="3"/>
    </row>
    <row r="11" spans="1:27" x14ac:dyDescent="0.25">
      <c r="A11" s="127">
        <v>226</v>
      </c>
      <c r="B11" s="147"/>
      <c r="C11" s="425">
        <f>'226 ОБЩАЯ'!D93</f>
        <v>136834.22</v>
      </c>
      <c r="D11" s="147"/>
      <c r="E11" s="425">
        <f t="shared" si="0"/>
        <v>136834.22</v>
      </c>
      <c r="F11" s="147"/>
      <c r="G11" s="425">
        <f>'226 ОБЩАЯ'!E93</f>
        <v>34208.559999999998</v>
      </c>
      <c r="H11" s="147"/>
      <c r="I11" s="425">
        <f t="shared" si="1"/>
        <v>34208.559999999998</v>
      </c>
      <c r="J11" s="142">
        <f t="shared" si="2"/>
        <v>171042.78</v>
      </c>
      <c r="L11" s="147">
        <v>213</v>
      </c>
      <c r="M11" s="425">
        <f>M33*90%</f>
        <v>2377892.31</v>
      </c>
      <c r="N11" s="425">
        <f>N33*90%</f>
        <v>648976.86</v>
      </c>
      <c r="O11" s="422">
        <f>M11+N11</f>
        <v>3026869.17</v>
      </c>
      <c r="P11" s="76"/>
      <c r="U11" s="3"/>
      <c r="V11" s="3"/>
      <c r="W11" s="3"/>
    </row>
    <row r="12" spans="1:27" x14ac:dyDescent="0.25">
      <c r="A12" s="127">
        <v>226</v>
      </c>
      <c r="B12" s="147"/>
      <c r="C12" s="425"/>
      <c r="D12" s="147"/>
      <c r="E12" s="425">
        <f>'226012003'!B11</f>
        <v>39240</v>
      </c>
      <c r="F12" s="147"/>
      <c r="G12" s="425"/>
      <c r="H12" s="147"/>
      <c r="I12" s="425"/>
      <c r="J12" s="142">
        <f>E12+I12</f>
        <v>39240</v>
      </c>
      <c r="L12" s="147"/>
      <c r="M12" s="425"/>
      <c r="N12" s="425"/>
      <c r="O12" s="422"/>
      <c r="P12" s="76"/>
      <c r="U12" s="3"/>
      <c r="V12" s="3"/>
      <c r="W12" s="3"/>
    </row>
    <row r="13" spans="1:27" x14ac:dyDescent="0.25">
      <c r="A13" s="127">
        <v>290</v>
      </c>
      <c r="B13" s="147"/>
      <c r="C13" s="147"/>
      <c r="D13" s="425">
        <f>'290'!B12</f>
        <v>943936.24</v>
      </c>
      <c r="E13" s="425">
        <f t="shared" si="0"/>
        <v>943936.24</v>
      </c>
      <c r="F13" s="147"/>
      <c r="G13" s="147"/>
      <c r="H13" s="425">
        <f>'290'!C12</f>
        <v>235984.06</v>
      </c>
      <c r="I13" s="425">
        <f t="shared" si="1"/>
        <v>235984.06</v>
      </c>
      <c r="J13" s="142">
        <f t="shared" si="2"/>
        <v>1179920.3</v>
      </c>
      <c r="L13" s="124">
        <v>213</v>
      </c>
      <c r="M13" s="423">
        <f>M34*90%</f>
        <v>2185262.2200000002</v>
      </c>
      <c r="N13" s="423">
        <f>N34*90%</f>
        <v>545678.73</v>
      </c>
      <c r="O13" s="422">
        <f>M13+N13</f>
        <v>2730940.95</v>
      </c>
      <c r="U13" s="3"/>
      <c r="V13" s="3"/>
      <c r="W13" s="3"/>
    </row>
    <row r="14" spans="1:27" x14ac:dyDescent="0.25">
      <c r="A14" s="127">
        <v>340</v>
      </c>
      <c r="B14" s="425">
        <f>'340 Общая'!D60</f>
        <v>124149.6</v>
      </c>
      <c r="C14" s="147"/>
      <c r="D14" s="147"/>
      <c r="E14" s="425">
        <f t="shared" si="0"/>
        <v>124149.6</v>
      </c>
      <c r="F14" s="425">
        <f>'340 Общая'!E60</f>
        <v>31037.4</v>
      </c>
      <c r="G14" s="147"/>
      <c r="H14" s="147"/>
      <c r="I14" s="425">
        <f t="shared" si="1"/>
        <v>31037.4</v>
      </c>
      <c r="J14" s="142">
        <f t="shared" si="2"/>
        <v>155187</v>
      </c>
      <c r="L14" s="427" t="s">
        <v>640</v>
      </c>
      <c r="M14" s="428">
        <f>M11+M13</f>
        <v>4563154.53</v>
      </c>
      <c r="N14" s="428">
        <f>N11+N13</f>
        <v>1194655.5900000001</v>
      </c>
      <c r="O14" s="428">
        <f>O11+O13</f>
        <v>5757810.1200000001</v>
      </c>
      <c r="U14" s="914" t="s">
        <v>23</v>
      </c>
      <c r="V14" s="914"/>
      <c r="W14" s="914"/>
      <c r="Y14" s="914" t="s">
        <v>24</v>
      </c>
      <c r="Z14" s="914"/>
      <c r="AA14" s="914"/>
    </row>
    <row r="15" spans="1:27" x14ac:dyDescent="0.25">
      <c r="A15" s="127">
        <v>340</v>
      </c>
      <c r="B15" s="425"/>
      <c r="C15" s="147"/>
      <c r="D15" s="147"/>
      <c r="E15" s="425">
        <f>'340 медикаменты'!B11</f>
        <v>19620</v>
      </c>
      <c r="F15" s="425"/>
      <c r="G15" s="147"/>
      <c r="H15" s="147"/>
      <c r="I15" s="425"/>
      <c r="J15" s="142">
        <f>E15+I15</f>
        <v>19620</v>
      </c>
      <c r="L15" s="427"/>
      <c r="M15" s="428"/>
      <c r="N15" s="428"/>
      <c r="O15" s="428"/>
      <c r="U15" s="127"/>
      <c r="V15" s="127"/>
      <c r="W15" s="127"/>
      <c r="Y15" s="127"/>
      <c r="Z15" s="127"/>
      <c r="AA15" s="127"/>
    </row>
    <row r="16" spans="1:27" x14ac:dyDescent="0.25">
      <c r="A16" s="127" t="s">
        <v>505</v>
      </c>
      <c r="B16" s="142">
        <f t="shared" ref="B16:H16" si="3">B4+B5+B6+B7+B8+B9+B10+B11+B13+B14</f>
        <v>11514936.17</v>
      </c>
      <c r="C16" s="142">
        <f t="shared" si="3"/>
        <v>12631337.26</v>
      </c>
      <c r="D16" s="142">
        <f t="shared" si="3"/>
        <v>1899375.41</v>
      </c>
      <c r="E16" s="142">
        <f>SUM(E4:E15)</f>
        <v>26104508.84</v>
      </c>
      <c r="F16" s="142">
        <f t="shared" si="3"/>
        <v>3139822.8</v>
      </c>
      <c r="G16" s="142">
        <f t="shared" si="3"/>
        <v>3148798.51</v>
      </c>
      <c r="H16" s="142">
        <f t="shared" si="3"/>
        <v>474843.85</v>
      </c>
      <c r="I16" s="142">
        <f>SUM(I4:I14)</f>
        <v>6763465.1600000001</v>
      </c>
      <c r="J16" s="142">
        <f>E16+I16</f>
        <v>32867974</v>
      </c>
      <c r="K16" s="76">
        <f>J16-O6</f>
        <v>0</v>
      </c>
      <c r="L16" s="147">
        <v>221</v>
      </c>
      <c r="M16" s="425">
        <f>O16/O4*M4</f>
        <v>63936.44</v>
      </c>
      <c r="N16" s="425">
        <f t="shared" ref="N16:N23" si="4">O16-M16</f>
        <v>17707.560000000001</v>
      </c>
      <c r="O16" s="422">
        <f>'221 ОБЩАЯ'!F47</f>
        <v>81644</v>
      </c>
      <c r="U16" s="127" t="s">
        <v>19</v>
      </c>
      <c r="V16" s="127" t="s">
        <v>17</v>
      </c>
      <c r="W16" s="127" t="s">
        <v>18</v>
      </c>
      <c r="Y16" s="127" t="s">
        <v>19</v>
      </c>
      <c r="Z16" s="127" t="s">
        <v>17</v>
      </c>
      <c r="AA16" s="127" t="s">
        <v>18</v>
      </c>
    </row>
    <row r="17" spans="1:27" ht="26.25" x14ac:dyDescent="0.25">
      <c r="A17" s="501"/>
      <c r="B17" s="501"/>
      <c r="C17" s="501"/>
      <c r="D17" s="501"/>
      <c r="E17" s="501"/>
      <c r="F17" s="501"/>
      <c r="G17" s="501"/>
      <c r="H17" s="501"/>
      <c r="I17" s="501"/>
      <c r="J17" s="611">
        <f>32867974-J16</f>
        <v>0</v>
      </c>
      <c r="L17" s="124">
        <v>222</v>
      </c>
      <c r="M17" s="423">
        <f t="shared" ref="M17:M23" si="5">O17/$O$4*$M$4</f>
        <v>17950.509999999998</v>
      </c>
      <c r="N17" s="423">
        <f t="shared" si="4"/>
        <v>4971.49</v>
      </c>
      <c r="O17" s="424">
        <f>'222Б'!D11</f>
        <v>22922</v>
      </c>
      <c r="U17" s="926">
        <v>401101</v>
      </c>
      <c r="V17" s="585" t="s">
        <v>7</v>
      </c>
      <c r="W17" s="147">
        <v>211</v>
      </c>
      <c r="Y17" s="926">
        <v>401201</v>
      </c>
      <c r="Z17" s="585" t="s">
        <v>7</v>
      </c>
      <c r="AA17" s="147">
        <v>211</v>
      </c>
    </row>
    <row r="18" spans="1:27" ht="24.75" customHeight="1" x14ac:dyDescent="0.25">
      <c r="A18" s="147">
        <v>15</v>
      </c>
      <c r="B18" s="425">
        <f>B4+B6+'340 Б'!B9+'340 Б'!B13+'340 Б'!B19+'340 Б'!B33+'340 Б'!B39</f>
        <v>11503297.15</v>
      </c>
      <c r="C18" s="425">
        <f>'211,213'!C12+'211,213'!C32+'212'!B12+'221 Б'!B17+'222Б'!B11+'225 Б'!B11+'225 Б'!B15+'225 Б'!B19+'225 Б'!B21+'223 Б (2)'!B25+'226 Б'!B9+'226 Б'!B11+'226 Б'!B17+'226 Б'!B22+'226 Б'!B24</f>
        <v>11625579.35</v>
      </c>
      <c r="D18" s="425">
        <f>'223 Б (2)'!C25+'290'!B9</f>
        <v>1593302.98</v>
      </c>
      <c r="E18" s="142">
        <f>B18+C18+D18</f>
        <v>24722179.48</v>
      </c>
      <c r="F18" s="425">
        <f>F4+F6+'340 Б'!C19+'340 Б'!C39</f>
        <v>3115988.3</v>
      </c>
      <c r="G18" s="425">
        <f>G4+G5+G6+G7+G8+'223 Б (2)'!D25+'225 Б'!C15+'225 Б'!C19+'225 Б'!C21+'226 Б'!C9+'226 Б'!C11+'226 Б'!C17+'226 Б'!C24+'226 Б'!C22</f>
        <v>2895705.74</v>
      </c>
      <c r="H18" s="425">
        <f>'223 Б (2)'!E25+'290'!C9</f>
        <v>398325.75</v>
      </c>
      <c r="I18" s="142">
        <f>F18+G18+H18</f>
        <v>6410019.79</v>
      </c>
      <c r="J18" s="142">
        <f>E18+I18</f>
        <v>31132199.27</v>
      </c>
      <c r="L18" s="147">
        <v>223</v>
      </c>
      <c r="M18" s="425">
        <f t="shared" si="5"/>
        <v>3173286.21</v>
      </c>
      <c r="N18" s="425">
        <f t="shared" si="4"/>
        <v>878859.39</v>
      </c>
      <c r="O18" s="422">
        <f>'223 Общая'!H11</f>
        <v>4052145.6</v>
      </c>
      <c r="U18" s="927"/>
      <c r="V18" s="123" t="s">
        <v>8</v>
      </c>
      <c r="W18" s="124">
        <v>340</v>
      </c>
      <c r="Y18" s="927"/>
      <c r="Z18" s="123" t="s">
        <v>8</v>
      </c>
      <c r="AA18" s="124">
        <v>340</v>
      </c>
    </row>
    <row r="19" spans="1:27" ht="26.25" x14ac:dyDescent="0.25">
      <c r="A19" s="147">
        <v>11</v>
      </c>
      <c r="B19" s="425">
        <f>'340 Б'!B10+'340 Б'!B14+'340 Б'!B36</f>
        <v>11639.02</v>
      </c>
      <c r="C19" s="425">
        <f>'223 Б (2)'!B26+'225 Б'!B16+'226 Б'!B18</f>
        <v>583727.46</v>
      </c>
      <c r="D19" s="425">
        <f>'223 Б (2)'!C26</f>
        <v>70149.460000000006</v>
      </c>
      <c r="E19" s="142">
        <f>B19+C19+D19</f>
        <v>665515.93999999994</v>
      </c>
      <c r="F19" s="425">
        <f>'340 Б'!C10+'340 Б'!C20+'340 Б'!C36</f>
        <v>18091.39</v>
      </c>
      <c r="G19" s="425">
        <f>'223 Б (2)'!D26+'225 Б'!C12+'226 Б'!C18</f>
        <v>146256.95000000001</v>
      </c>
      <c r="H19" s="425">
        <f>'223 Б (2)'!E26</f>
        <v>17537.37</v>
      </c>
      <c r="I19" s="142">
        <f>F19+G19+H19</f>
        <v>181885.71</v>
      </c>
      <c r="J19" s="142">
        <f>E19+I19</f>
        <v>847401.65</v>
      </c>
      <c r="L19" s="124">
        <v>225</v>
      </c>
      <c r="M19" s="423">
        <f t="shared" si="5"/>
        <v>90563.99</v>
      </c>
      <c r="N19" s="423">
        <f t="shared" si="4"/>
        <v>25082.21</v>
      </c>
      <c r="O19" s="424">
        <f>'225 ОБЩАЯ'!F61</f>
        <v>115646.2</v>
      </c>
      <c r="P19" t="s">
        <v>123</v>
      </c>
      <c r="U19" s="928">
        <v>401102</v>
      </c>
      <c r="V19" s="585" t="s">
        <v>9</v>
      </c>
      <c r="W19" s="147">
        <v>223</v>
      </c>
      <c r="Y19" s="928">
        <v>401202</v>
      </c>
      <c r="Z19" s="585" t="s">
        <v>9</v>
      </c>
      <c r="AA19" s="147">
        <v>223</v>
      </c>
    </row>
    <row r="20" spans="1:27" x14ac:dyDescent="0.25">
      <c r="A20" s="147">
        <v>8</v>
      </c>
      <c r="B20" s="147">
        <v>0</v>
      </c>
      <c r="C20" s="425">
        <f>'223 Б (2)'!B27+'225 Б'!B17+'226 Б'!B20</f>
        <v>422030.45</v>
      </c>
      <c r="D20" s="425">
        <f>'223 Б (2)'!C27</f>
        <v>235922.97</v>
      </c>
      <c r="E20" s="142">
        <f>B20+C20+D20</f>
        <v>657953.42000000004</v>
      </c>
      <c r="F20" s="425">
        <f>'340 Б'!C16+'340 Б'!C22</f>
        <v>5743.11</v>
      </c>
      <c r="G20" s="425">
        <f>'223 Б (2)'!D27+'225 Б'!C13+'226 Б'!C20</f>
        <v>106835.82</v>
      </c>
      <c r="H20" s="425">
        <f>'223 Б (2)'!E27</f>
        <v>58980.73</v>
      </c>
      <c r="I20" s="142">
        <f>F20+G20+H20</f>
        <v>171559.66</v>
      </c>
      <c r="J20" s="142">
        <f>E20+I20</f>
        <v>829513.08</v>
      </c>
      <c r="L20" s="147">
        <v>226</v>
      </c>
      <c r="M20" s="425">
        <f t="shared" si="5"/>
        <v>133945.75</v>
      </c>
      <c r="N20" s="425">
        <f t="shared" si="4"/>
        <v>37097.03</v>
      </c>
      <c r="O20" s="422">
        <f>'226 ОБЩАЯ'!F93</f>
        <v>171042.78</v>
      </c>
      <c r="U20" s="929"/>
      <c r="V20" s="123" t="s">
        <v>10</v>
      </c>
      <c r="W20" s="124">
        <v>225.226</v>
      </c>
      <c r="Y20" s="929"/>
      <c r="Z20" s="123" t="s">
        <v>10</v>
      </c>
      <c r="AA20" s="124">
        <v>225.226</v>
      </c>
    </row>
    <row r="21" spans="1:27" x14ac:dyDescent="0.25">
      <c r="A21" s="147"/>
      <c r="B21" s="425">
        <f>B16-B18-B19</f>
        <v>0</v>
      </c>
      <c r="C21" s="425">
        <f>C16-C18-C19-C20</f>
        <v>0</v>
      </c>
      <c r="D21" s="425">
        <f>D16-D18-D19-D20</f>
        <v>0</v>
      </c>
      <c r="E21" s="142">
        <f>SUM(E18:E20)</f>
        <v>26045648.84</v>
      </c>
      <c r="F21" s="425">
        <f>F16-F18-F19-F20</f>
        <v>0</v>
      </c>
      <c r="G21" s="425">
        <f>G16-G18-G19-G20</f>
        <v>0</v>
      </c>
      <c r="H21" s="425">
        <f>H16-H18-H19-H20</f>
        <v>0</v>
      </c>
      <c r="I21" s="142">
        <f>SUM(I18:I20)</f>
        <v>6763465.1600000001</v>
      </c>
      <c r="J21" s="142">
        <f>E21+I21</f>
        <v>32809114</v>
      </c>
      <c r="L21" s="124">
        <v>290</v>
      </c>
      <c r="M21" s="429">
        <f t="shared" si="5"/>
        <v>924010.43</v>
      </c>
      <c r="N21" s="429">
        <f t="shared" si="4"/>
        <v>255909.87</v>
      </c>
      <c r="O21" s="430">
        <f>'290'!D12</f>
        <v>1179920.3</v>
      </c>
      <c r="U21" s="930"/>
      <c r="V21" s="585" t="s">
        <v>11</v>
      </c>
      <c r="W21" s="147">
        <v>221</v>
      </c>
      <c r="Y21" s="930"/>
      <c r="Z21" s="585" t="s">
        <v>11</v>
      </c>
      <c r="AA21" s="147">
        <v>221</v>
      </c>
    </row>
    <row r="22" spans="1:27" x14ac:dyDescent="0.25">
      <c r="A22" s="147"/>
      <c r="B22" s="147"/>
      <c r="C22" s="147"/>
      <c r="D22" s="147"/>
      <c r="E22" s="142">
        <f>E21-E16</f>
        <v>-58860</v>
      </c>
      <c r="F22" s="147"/>
      <c r="G22" s="147"/>
      <c r="H22" s="147"/>
      <c r="I22" s="142">
        <f>I16-I21</f>
        <v>0</v>
      </c>
      <c r="J22" s="142">
        <f>J21-J16</f>
        <v>-58860</v>
      </c>
      <c r="L22" s="147">
        <v>310</v>
      </c>
      <c r="M22" s="425">
        <f t="shared" si="5"/>
        <v>0</v>
      </c>
      <c r="N22" s="425">
        <f t="shared" si="4"/>
        <v>0</v>
      </c>
      <c r="O22" s="422">
        <f>'310'!D87</f>
        <v>0</v>
      </c>
      <c r="P22" t="s">
        <v>124</v>
      </c>
      <c r="U22" s="929"/>
      <c r="V22" s="123" t="s">
        <v>12</v>
      </c>
      <c r="W22" s="124">
        <v>222</v>
      </c>
      <c r="Y22" s="929"/>
      <c r="Z22" s="123" t="s">
        <v>12</v>
      </c>
      <c r="AA22" s="124">
        <v>222</v>
      </c>
    </row>
    <row r="23" spans="1:27" ht="64.5" x14ac:dyDescent="0.25">
      <c r="A23" s="501"/>
      <c r="B23" s="501"/>
      <c r="C23" s="501"/>
      <c r="D23" s="501"/>
      <c r="E23" s="501"/>
      <c r="F23" s="501"/>
      <c r="G23" s="501"/>
      <c r="H23" s="501"/>
      <c r="I23" s="501"/>
      <c r="J23" s="611"/>
      <c r="L23" s="124">
        <v>340</v>
      </c>
      <c r="M23" s="423">
        <f t="shared" si="5"/>
        <v>121528.89</v>
      </c>
      <c r="N23" s="423">
        <f t="shared" si="4"/>
        <v>33658.11</v>
      </c>
      <c r="O23" s="424">
        <f>'340 Б'!D40</f>
        <v>155187</v>
      </c>
      <c r="U23" s="930"/>
      <c r="V23" s="585" t="s">
        <v>13</v>
      </c>
      <c r="W23" s="147" t="s">
        <v>16</v>
      </c>
      <c r="Y23" s="930"/>
      <c r="Z23" s="585" t="s">
        <v>13</v>
      </c>
      <c r="AA23" s="147" t="s">
        <v>16</v>
      </c>
    </row>
    <row r="24" spans="1:27" ht="26.25" x14ac:dyDescent="0.25">
      <c r="L24" s="147"/>
      <c r="M24" s="422">
        <f>M7+M8+M10+M11+M13+M16+M17+M18+M19+M20+M21+M22+M23</f>
        <v>25946565.149999999</v>
      </c>
      <c r="N24" s="422">
        <f>N7+N8+N10+N11+N13+N16+N17+N18+N19+N20+N21+N22+N23</f>
        <v>6862548.8499999996</v>
      </c>
      <c r="O24" s="422">
        <f>O9+O10+O14+O16+O17+O18+O19+O20+O21+O22+O23</f>
        <v>32809114</v>
      </c>
      <c r="P24" s="76"/>
      <c r="U24" s="929"/>
      <c r="V24" s="123" t="s">
        <v>14</v>
      </c>
      <c r="W24" s="124">
        <v>212</v>
      </c>
      <c r="Y24" s="929"/>
      <c r="Z24" s="123" t="s">
        <v>14</v>
      </c>
      <c r="AA24" s="124">
        <v>212</v>
      </c>
    </row>
    <row r="25" spans="1:27" ht="26.25" x14ac:dyDescent="0.25">
      <c r="L25" s="124"/>
      <c r="M25" s="444"/>
      <c r="N25" s="444"/>
      <c r="O25" s="445">
        <f>O24-O6</f>
        <v>-58860</v>
      </c>
      <c r="P25" s="76"/>
      <c r="Q25" s="164"/>
      <c r="U25" s="930"/>
      <c r="V25" s="585" t="s">
        <v>15</v>
      </c>
      <c r="W25" s="147">
        <v>225</v>
      </c>
      <c r="Y25" s="930"/>
      <c r="Z25" s="585" t="s">
        <v>15</v>
      </c>
      <c r="AA25" s="147">
        <v>225</v>
      </c>
    </row>
    <row r="26" spans="1:27" ht="39" x14ac:dyDescent="0.25">
      <c r="P26" s="76"/>
      <c r="Q26" s="164"/>
      <c r="U26" s="931"/>
      <c r="V26" s="123" t="s">
        <v>26</v>
      </c>
      <c r="W26" s="124">
        <v>310</v>
      </c>
      <c r="Y26" s="931"/>
      <c r="Z26" s="123" t="s">
        <v>25</v>
      </c>
      <c r="AA26" s="124">
        <v>310</v>
      </c>
    </row>
    <row r="27" spans="1:27" ht="26.25" x14ac:dyDescent="0.25">
      <c r="O27" s="189"/>
      <c r="U27" s="932">
        <v>401103</v>
      </c>
      <c r="V27" s="585" t="s">
        <v>20</v>
      </c>
      <c r="W27" s="587">
        <v>223</v>
      </c>
      <c r="Y27" s="932">
        <v>401203</v>
      </c>
      <c r="Z27" s="585" t="s">
        <v>20</v>
      </c>
      <c r="AA27" s="587">
        <v>223</v>
      </c>
    </row>
    <row r="28" spans="1:27" x14ac:dyDescent="0.25">
      <c r="Q28" s="430"/>
      <c r="U28" s="933"/>
      <c r="V28" s="588" t="s">
        <v>21</v>
      </c>
      <c r="W28" s="589">
        <v>290</v>
      </c>
      <c r="Y28" s="933"/>
      <c r="Z28" s="588" t="s">
        <v>21</v>
      </c>
      <c r="AA28" s="589">
        <v>290</v>
      </c>
    </row>
    <row r="29" spans="1:27" ht="39" x14ac:dyDescent="0.25">
      <c r="U29" s="934"/>
      <c r="V29" s="586" t="s">
        <v>22</v>
      </c>
      <c r="W29" s="147"/>
      <c r="Y29" s="934"/>
      <c r="Z29" s="586" t="s">
        <v>22</v>
      </c>
      <c r="AA29" s="147"/>
    </row>
    <row r="30" spans="1:27" x14ac:dyDescent="0.25">
      <c r="P30" s="164"/>
      <c r="Q30" s="116">
        <f>304684893.98*0.4%/4*3+15337293.35*0.15%/4*3</f>
        <v>931309.14</v>
      </c>
    </row>
    <row r="31" spans="1:27" x14ac:dyDescent="0.25">
      <c r="O31" s="189"/>
      <c r="Q31" s="164">
        <f>O25+Q30</f>
        <v>872449.14</v>
      </c>
    </row>
    <row r="32" spans="1:27" x14ac:dyDescent="0.25">
      <c r="O32" s="431"/>
    </row>
    <row r="33" spans="12:17" x14ac:dyDescent="0.25">
      <c r="L33" s="138">
        <v>213</v>
      </c>
      <c r="M33" s="142">
        <f>M7*30.2%</f>
        <v>2642102.5699999998</v>
      </c>
      <c r="N33" s="142">
        <f>N7*30.2%</f>
        <v>721085.4</v>
      </c>
      <c r="O33" s="423">
        <f>M33+N33</f>
        <v>3363187.97</v>
      </c>
    </row>
    <row r="34" spans="12:17" x14ac:dyDescent="0.25">
      <c r="L34" s="138">
        <v>213</v>
      </c>
      <c r="M34" s="142">
        <f>M8*30.2%</f>
        <v>2428069.13</v>
      </c>
      <c r="N34" s="142">
        <f>N8*30.2%</f>
        <v>606309.69999999995</v>
      </c>
      <c r="O34" s="423">
        <f>M34+N34</f>
        <v>3034378.83</v>
      </c>
      <c r="P34" s="76">
        <f>O19+O20+O22+O23</f>
        <v>441875.98</v>
      </c>
      <c r="Q34" s="164">
        <f>O18+O25</f>
        <v>3993285.6</v>
      </c>
    </row>
    <row r="36" spans="12:17" x14ac:dyDescent="0.25">
      <c r="M36" s="612"/>
    </row>
  </sheetData>
  <mergeCells count="15">
    <mergeCell ref="A1:J1"/>
    <mergeCell ref="B2:D2"/>
    <mergeCell ref="F2:H2"/>
    <mergeCell ref="J2:J3"/>
    <mergeCell ref="E2:E3"/>
    <mergeCell ref="I2:I3"/>
    <mergeCell ref="Y14:AA14"/>
    <mergeCell ref="Y17:Y18"/>
    <mergeCell ref="Y19:Y26"/>
    <mergeCell ref="Y27:Y29"/>
    <mergeCell ref="L2:O2"/>
    <mergeCell ref="U17:U18"/>
    <mergeCell ref="U19:U26"/>
    <mergeCell ref="U27:U29"/>
    <mergeCell ref="U14:W14"/>
  </mergeCells>
  <phoneticPr fontId="17" type="noConversion"/>
  <pageMargins left="0.7" right="0.7" top="0.75" bottom="0.75" header="0.3" footer="0.3"/>
  <pageSetup paperSize="9" scale="85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topLeftCell="A4" workbookViewId="0">
      <selection activeCell="H24" sqref="H24:I24"/>
    </sheetView>
  </sheetViews>
  <sheetFormatPr defaultRowHeight="15" x14ac:dyDescent="0.25"/>
  <cols>
    <col min="1" max="1" width="9.7109375" style="95" customWidth="1"/>
    <col min="2" max="5" width="9" style="95" customWidth="1"/>
    <col min="6" max="6" width="7.42578125" style="95" customWidth="1"/>
    <col min="7" max="7" width="11.5703125" style="95" customWidth="1"/>
    <col min="8" max="8" width="9" style="95" customWidth="1"/>
    <col min="9" max="9" width="11.5703125" customWidth="1"/>
  </cols>
  <sheetData>
    <row r="1" spans="1:9" ht="18.75" customHeight="1" x14ac:dyDescent="0.25">
      <c r="A1" s="808" t="s">
        <v>940</v>
      </c>
      <c r="B1" s="808"/>
      <c r="C1" s="808"/>
      <c r="D1" s="808"/>
      <c r="E1" s="808"/>
      <c r="F1" s="808"/>
      <c r="G1" s="808"/>
      <c r="H1" s="808"/>
      <c r="I1" s="808"/>
    </row>
    <row r="2" spans="1:9" ht="16.5" customHeight="1" x14ac:dyDescent="0.25">
      <c r="A2" s="808" t="s">
        <v>941</v>
      </c>
      <c r="B2" s="808"/>
      <c r="C2" s="808"/>
      <c r="D2" s="808"/>
      <c r="E2" s="808"/>
      <c r="F2" s="808"/>
      <c r="G2" s="808"/>
      <c r="H2" s="808"/>
      <c r="I2" s="808"/>
    </row>
    <row r="3" spans="1:9" s="782" customFormat="1" ht="14.25" customHeight="1" x14ac:dyDescent="0.2">
      <c r="F3" s="853" t="s">
        <v>956</v>
      </c>
      <c r="G3" s="853"/>
      <c r="H3" s="853"/>
      <c r="I3" s="853"/>
    </row>
    <row r="4" spans="1:9" ht="32.25" customHeight="1" x14ac:dyDescent="0.25">
      <c r="A4" s="782"/>
      <c r="B4" s="5"/>
      <c r="C4" s="5"/>
      <c r="D4" s="5"/>
      <c r="E4" s="5"/>
      <c r="F4" s="948" t="s">
        <v>942</v>
      </c>
      <c r="G4" s="948"/>
      <c r="H4" s="948"/>
      <c r="I4" s="948"/>
    </row>
    <row r="5" spans="1:9" ht="14.25" customHeight="1" x14ac:dyDescent="0.25">
      <c r="A5" s="788"/>
      <c r="B5" s="5"/>
      <c r="C5" s="5"/>
      <c r="D5" s="5"/>
      <c r="E5" s="5"/>
      <c r="F5" s="941" t="s">
        <v>943</v>
      </c>
      <c r="G5" s="941"/>
      <c r="H5" s="941"/>
      <c r="I5" s="941"/>
    </row>
    <row r="6" spans="1:9" ht="18.75" customHeight="1" x14ac:dyDescent="0.25">
      <c r="A6" s="808" t="s">
        <v>961</v>
      </c>
      <c r="B6" s="808"/>
      <c r="C6" s="808"/>
      <c r="D6" s="808"/>
      <c r="E6" s="808"/>
      <c r="F6" s="808"/>
      <c r="G6" s="808"/>
      <c r="H6" s="808"/>
      <c r="I6" s="808"/>
    </row>
    <row r="7" spans="1:9" ht="11.25" customHeight="1" x14ac:dyDescent="0.25">
      <c r="A7" s="808" t="s">
        <v>944</v>
      </c>
      <c r="B7" s="808"/>
      <c r="C7" s="808"/>
      <c r="D7" s="808"/>
      <c r="E7" s="808"/>
      <c r="F7" s="808"/>
      <c r="G7" s="808"/>
      <c r="H7" s="808"/>
      <c r="I7" s="808"/>
    </row>
    <row r="8" spans="1:9" ht="18.75" customHeight="1" x14ac:dyDescent="0.25">
      <c r="A8" s="945" t="s">
        <v>957</v>
      </c>
      <c r="B8" s="945"/>
      <c r="C8" s="945"/>
      <c r="D8" s="945"/>
      <c r="E8" s="945"/>
      <c r="F8" s="945"/>
      <c r="G8" s="945"/>
      <c r="H8" s="945"/>
      <c r="I8" s="945"/>
    </row>
    <row r="9" spans="1:9" ht="18.75" customHeight="1" x14ac:dyDescent="0.25">
      <c r="A9" s="783"/>
      <c r="B9" s="783"/>
      <c r="C9" s="783"/>
      <c r="D9" s="783"/>
      <c r="E9" s="783"/>
      <c r="F9" s="783"/>
      <c r="G9" s="783"/>
      <c r="H9" s="783"/>
      <c r="I9" s="783"/>
    </row>
    <row r="10" spans="1:9" ht="18.75" customHeight="1" x14ac:dyDescent="0.25">
      <c r="A10" s="946" t="s">
        <v>157</v>
      </c>
      <c r="B10" s="946"/>
      <c r="C10" s="946"/>
      <c r="D10" s="946"/>
      <c r="E10" s="946"/>
      <c r="F10" s="946"/>
      <c r="G10" s="946"/>
      <c r="H10" s="946"/>
      <c r="I10" s="946"/>
    </row>
    <row r="11" spans="1:9" ht="18.75" customHeight="1" x14ac:dyDescent="0.25">
      <c r="A11" s="940" t="s">
        <v>959</v>
      </c>
      <c r="B11" s="940"/>
      <c r="C11" s="940"/>
      <c r="D11" s="940"/>
      <c r="E11" s="940"/>
      <c r="F11" s="940"/>
      <c r="G11" s="940"/>
      <c r="H11" s="940"/>
      <c r="I11" s="940"/>
    </row>
    <row r="12" spans="1:9" ht="18.75" customHeight="1" x14ac:dyDescent="0.25">
      <c r="A12" s="940" t="s">
        <v>960</v>
      </c>
      <c r="B12" s="940"/>
      <c r="C12" s="940"/>
      <c r="D12" s="940"/>
      <c r="E12" s="940"/>
      <c r="F12" s="940"/>
      <c r="G12" s="940"/>
      <c r="H12" s="940"/>
      <c r="I12" s="940"/>
    </row>
    <row r="13" spans="1:9" x14ac:dyDescent="0.25">
      <c r="A13" s="59"/>
      <c r="B13" s="3"/>
      <c r="C13" s="3"/>
      <c r="D13" s="3"/>
      <c r="E13" s="3"/>
      <c r="F13" s="3"/>
      <c r="G13" s="3"/>
      <c r="H13" s="942"/>
      <c r="I13" s="942"/>
    </row>
    <row r="14" spans="1:9" x14ac:dyDescent="0.25">
      <c r="A14" s="810" t="s">
        <v>892</v>
      </c>
      <c r="B14" s="810"/>
      <c r="C14" s="810"/>
      <c r="D14" s="810"/>
      <c r="E14" s="810"/>
      <c r="F14" s="943"/>
      <c r="G14" s="944"/>
      <c r="H14" s="942" t="s">
        <v>890</v>
      </c>
      <c r="I14" s="942"/>
    </row>
    <row r="15" spans="1:9" ht="15.75" customHeight="1" x14ac:dyDescent="0.25">
      <c r="A15" s="805" t="s">
        <v>955</v>
      </c>
      <c r="B15" s="805"/>
      <c r="C15" s="805"/>
      <c r="D15" s="805"/>
      <c r="E15" s="59"/>
      <c r="F15" s="3"/>
      <c r="G15" s="3"/>
      <c r="H15" s="701"/>
      <c r="I15" s="702"/>
    </row>
    <row r="16" spans="1:9" x14ac:dyDescent="0.25">
      <c r="A16" s="821" t="s">
        <v>945</v>
      </c>
      <c r="B16" s="821"/>
      <c r="C16" s="821"/>
      <c r="D16" s="821"/>
      <c r="E16" s="821"/>
      <c r="F16" s="821"/>
      <c r="G16" s="947"/>
      <c r="H16" s="701"/>
      <c r="I16" s="702"/>
    </row>
    <row r="17" spans="1:9" ht="15" customHeight="1" x14ac:dyDescent="0.25">
      <c r="A17" s="821" t="s">
        <v>939</v>
      </c>
      <c r="B17" s="821"/>
      <c r="C17" s="821"/>
      <c r="D17" s="821"/>
      <c r="E17" s="821"/>
      <c r="F17" s="821"/>
      <c r="G17" s="787" t="s">
        <v>891</v>
      </c>
      <c r="H17" s="951"/>
      <c r="I17" s="907"/>
    </row>
    <row r="18" spans="1:9" ht="15.75" customHeight="1" x14ac:dyDescent="0.25">
      <c r="A18" s="821" t="s">
        <v>962</v>
      </c>
      <c r="B18" s="821"/>
      <c r="C18" s="821"/>
      <c r="D18" s="821"/>
      <c r="E18" s="821"/>
      <c r="F18" s="821"/>
      <c r="G18" s="947"/>
      <c r="H18" s="701"/>
      <c r="I18" s="702"/>
    </row>
    <row r="19" spans="1:9" ht="28.5" customHeight="1" x14ac:dyDescent="0.25">
      <c r="A19" s="810" t="s">
        <v>949</v>
      </c>
      <c r="B19" s="810"/>
      <c r="C19" s="810"/>
      <c r="D19" s="810"/>
      <c r="E19" s="810"/>
      <c r="F19" s="810"/>
      <c r="G19" s="59" t="s">
        <v>950</v>
      </c>
      <c r="H19" s="949" t="s">
        <v>954</v>
      </c>
      <c r="I19" s="950"/>
    </row>
    <row r="20" spans="1:9" ht="26.25" customHeight="1" x14ac:dyDescent="0.25">
      <c r="A20" s="821" t="s">
        <v>942</v>
      </c>
      <c r="B20" s="821"/>
      <c r="C20" s="821"/>
      <c r="D20" s="821"/>
      <c r="E20" s="821"/>
      <c r="F20" s="821"/>
      <c r="G20" s="599"/>
      <c r="H20" s="785"/>
      <c r="I20" s="786"/>
    </row>
    <row r="21" spans="1:9" ht="14.25" customHeight="1" x14ac:dyDescent="0.25">
      <c r="A21" s="59" t="s">
        <v>951</v>
      </c>
      <c r="B21" s="59"/>
      <c r="C21" s="62"/>
      <c r="D21" s="62"/>
      <c r="E21" s="62"/>
      <c r="F21" s="62"/>
      <c r="G21" s="599"/>
      <c r="H21" s="785"/>
      <c r="I21" s="786"/>
    </row>
    <row r="22" spans="1:9" ht="14.25" customHeight="1" x14ac:dyDescent="0.25">
      <c r="A22" s="810" t="s">
        <v>952</v>
      </c>
      <c r="B22" s="810"/>
      <c r="C22" s="62"/>
      <c r="D22" s="62"/>
      <c r="E22" s="62"/>
      <c r="F22" s="62"/>
      <c r="G22" s="599"/>
      <c r="H22" s="701"/>
      <c r="I22" s="702"/>
    </row>
    <row r="23" spans="1:9" ht="14.25" customHeight="1" x14ac:dyDescent="0.25">
      <c r="A23" s="810" t="s">
        <v>953</v>
      </c>
      <c r="B23" s="810"/>
      <c r="C23" s="810"/>
      <c r="D23" s="3"/>
      <c r="E23" s="3"/>
      <c r="F23" s="3"/>
      <c r="G23" s="3"/>
      <c r="H23" s="701"/>
      <c r="I23" s="702"/>
    </row>
    <row r="24" spans="1:9" ht="18.75" customHeight="1" x14ac:dyDescent="0.25">
      <c r="A24" s="810" t="s">
        <v>958</v>
      </c>
      <c r="B24" s="810"/>
      <c r="C24" s="810"/>
      <c r="D24" s="810"/>
      <c r="E24" s="810"/>
      <c r="F24" s="810"/>
      <c r="G24" s="3" t="s">
        <v>948</v>
      </c>
      <c r="H24" s="906">
        <v>65436000000</v>
      </c>
      <c r="I24" s="907"/>
    </row>
    <row r="25" spans="1:9" ht="14.25" customHeight="1" x14ac:dyDescent="0.25">
      <c r="A25" s="810" t="s">
        <v>963</v>
      </c>
      <c r="B25" s="810"/>
      <c r="C25" s="810"/>
      <c r="D25" s="810"/>
      <c r="E25" s="810"/>
      <c r="F25" s="810"/>
      <c r="G25" s="5" t="s">
        <v>947</v>
      </c>
      <c r="H25" s="906">
        <v>6612002358</v>
      </c>
      <c r="I25" s="907"/>
    </row>
    <row r="26" spans="1:9" ht="18.75" customHeight="1" x14ac:dyDescent="0.25">
      <c r="A26" s="598"/>
      <c r="B26" s="3"/>
      <c r="C26" s="3"/>
      <c r="D26" s="3"/>
      <c r="E26" s="3"/>
      <c r="F26" s="3"/>
      <c r="G26" s="784" t="s">
        <v>946</v>
      </c>
      <c r="H26" s="952">
        <v>661201001</v>
      </c>
      <c r="I26" s="953"/>
    </row>
    <row r="27" spans="1:9" ht="18.75" customHeight="1" x14ac:dyDescent="0.25">
      <c r="A27" s="810" t="s">
        <v>894</v>
      </c>
      <c r="B27" s="810"/>
      <c r="C27" s="810"/>
      <c r="D27" s="810"/>
      <c r="E27" s="810"/>
      <c r="F27" s="810"/>
      <c r="G27" s="5" t="s">
        <v>893</v>
      </c>
      <c r="H27" s="906">
        <v>383</v>
      </c>
      <c r="I27" s="907"/>
    </row>
    <row r="28" spans="1:9" ht="14.25" customHeight="1" x14ac:dyDescent="0.25">
      <c r="A28" s="805"/>
      <c r="B28" s="805"/>
      <c r="C28" s="805"/>
      <c r="D28" s="805"/>
      <c r="E28" s="805"/>
      <c r="F28" s="805"/>
      <c r="G28" s="805"/>
      <c r="H28" s="805"/>
      <c r="I28" s="3"/>
    </row>
    <row r="29" spans="1:9" ht="18.75" customHeight="1" x14ac:dyDescent="0.25">
      <c r="A29" s="821"/>
      <c r="B29" s="821"/>
      <c r="C29" s="821"/>
      <c r="D29" s="821"/>
      <c r="E29" s="821"/>
      <c r="F29" s="821"/>
      <c r="G29" s="821"/>
      <c r="H29" s="821"/>
      <c r="I29" s="821"/>
    </row>
    <row r="30" spans="1:9" ht="18.75" customHeight="1" x14ac:dyDescent="0.25">
      <c r="A30" s="59"/>
      <c r="B30" s="59"/>
      <c r="C30" s="59"/>
      <c r="D30" s="59"/>
      <c r="E30" s="59"/>
      <c r="F30" s="59"/>
      <c r="G30" s="59"/>
      <c r="H30" s="59"/>
      <c r="I30" s="3"/>
    </row>
    <row r="31" spans="1:9" ht="18.75" customHeight="1" x14ac:dyDescent="0.25">
      <c r="A31" s="598"/>
      <c r="B31" s="3"/>
      <c r="C31" s="3"/>
      <c r="D31" s="3"/>
      <c r="E31" s="3"/>
      <c r="F31" s="3"/>
      <c r="G31" s="3"/>
      <c r="H31" s="3"/>
      <c r="I31" s="3"/>
    </row>
    <row r="32" spans="1:9" ht="14.25" customHeight="1" x14ac:dyDescent="0.25">
      <c r="A32" s="805"/>
      <c r="B32" s="805"/>
      <c r="C32" s="805"/>
      <c r="D32" s="805"/>
      <c r="E32" s="805"/>
      <c r="F32" s="805"/>
      <c r="G32" s="805"/>
      <c r="H32" s="805"/>
      <c r="I32" s="3"/>
    </row>
    <row r="33" spans="1:9" ht="14.25" customHeight="1" x14ac:dyDescent="0.25">
      <c r="A33" s="805"/>
      <c r="B33" s="805"/>
      <c r="C33" s="805"/>
      <c r="D33" s="805"/>
      <c r="E33" s="805"/>
      <c r="F33" s="805"/>
      <c r="G33" s="805"/>
      <c r="H33" s="805"/>
      <c r="I33" s="3"/>
    </row>
    <row r="34" spans="1:9" ht="14.25" customHeight="1" x14ac:dyDescent="0.25">
      <c r="A34" s="805"/>
      <c r="B34" s="805"/>
      <c r="C34" s="805"/>
      <c r="D34" s="805"/>
      <c r="E34" s="805"/>
      <c r="F34" s="805"/>
      <c r="G34" s="805"/>
      <c r="H34" s="805"/>
      <c r="I34" s="3"/>
    </row>
    <row r="35" spans="1:9" x14ac:dyDescent="0.25">
      <c r="A35" s="600"/>
      <c r="B35" s="600"/>
      <c r="C35" s="600"/>
      <c r="D35" s="600"/>
      <c r="E35" s="600"/>
      <c r="F35" s="600"/>
      <c r="G35" s="600"/>
      <c r="H35" s="600"/>
      <c r="I35" s="600"/>
    </row>
    <row r="36" spans="1:9" x14ac:dyDescent="0.25">
      <c r="A36" s="600"/>
      <c r="B36" s="600"/>
      <c r="C36" s="600"/>
      <c r="D36" s="600"/>
      <c r="E36" s="600"/>
      <c r="F36" s="600"/>
      <c r="G36" s="600"/>
      <c r="H36" s="600"/>
      <c r="I36" s="600"/>
    </row>
    <row r="37" spans="1:9" x14ac:dyDescent="0.25">
      <c r="A37" s="600"/>
      <c r="B37" s="600"/>
      <c r="C37" s="600"/>
      <c r="D37" s="600"/>
      <c r="E37" s="600"/>
      <c r="F37" s="600"/>
      <c r="G37" s="600"/>
      <c r="H37" s="600"/>
      <c r="I37" s="600"/>
    </row>
    <row r="38" spans="1:9" x14ac:dyDescent="0.25">
      <c r="A38" s="600"/>
      <c r="B38" s="600"/>
      <c r="C38" s="600"/>
      <c r="D38" s="600"/>
      <c r="E38" s="600"/>
      <c r="F38" s="600"/>
      <c r="G38" s="600"/>
      <c r="H38" s="600"/>
      <c r="I38" s="600"/>
    </row>
    <row r="39" spans="1:9" x14ac:dyDescent="0.25">
      <c r="A39" s="600"/>
      <c r="B39" s="600"/>
      <c r="C39" s="600"/>
      <c r="D39" s="600"/>
      <c r="E39" s="600"/>
      <c r="F39" s="600"/>
      <c r="G39" s="600"/>
      <c r="H39" s="600"/>
      <c r="I39" s="600"/>
    </row>
    <row r="40" spans="1:9" x14ac:dyDescent="0.25">
      <c r="A40" s="600"/>
      <c r="B40" s="600"/>
      <c r="C40" s="600"/>
      <c r="D40" s="600"/>
      <c r="E40" s="600"/>
      <c r="F40" s="600"/>
      <c r="G40" s="600"/>
      <c r="H40" s="600"/>
      <c r="I40" s="600"/>
    </row>
    <row r="41" spans="1:9" x14ac:dyDescent="0.25">
      <c r="A41" s="600"/>
      <c r="B41" s="600"/>
      <c r="C41" s="600"/>
      <c r="D41" s="600"/>
      <c r="E41" s="600"/>
      <c r="F41" s="600"/>
      <c r="G41" s="600"/>
      <c r="H41" s="600"/>
      <c r="I41" s="600"/>
    </row>
    <row r="42" spans="1:9" x14ac:dyDescent="0.25">
      <c r="A42" s="600"/>
      <c r="B42" s="600"/>
      <c r="C42" s="600"/>
      <c r="D42" s="600"/>
      <c r="E42" s="600"/>
      <c r="F42" s="600"/>
      <c r="G42" s="600"/>
      <c r="H42" s="600"/>
      <c r="I42" s="600"/>
    </row>
    <row r="43" spans="1:9" x14ac:dyDescent="0.25">
      <c r="A43" s="600"/>
      <c r="B43" s="600"/>
      <c r="C43" s="600"/>
      <c r="D43" s="600"/>
      <c r="E43" s="600"/>
      <c r="F43" s="600"/>
      <c r="G43" s="600"/>
      <c r="H43" s="600"/>
      <c r="I43" s="600"/>
    </row>
    <row r="44" spans="1:9" x14ac:dyDescent="0.25">
      <c r="A44" s="600"/>
      <c r="B44" s="600"/>
      <c r="C44" s="600"/>
      <c r="D44" s="600"/>
      <c r="E44" s="600"/>
      <c r="F44" s="600"/>
      <c r="G44" s="600"/>
      <c r="H44" s="600"/>
      <c r="I44" s="600"/>
    </row>
    <row r="45" spans="1:9" x14ac:dyDescent="0.25">
      <c r="A45" s="600"/>
      <c r="B45" s="600"/>
      <c r="C45" s="600"/>
      <c r="D45" s="600"/>
      <c r="E45" s="600"/>
      <c r="F45" s="600"/>
      <c r="G45" s="600"/>
      <c r="H45" s="600"/>
      <c r="I45" s="600"/>
    </row>
    <row r="46" spans="1:9" x14ac:dyDescent="0.25">
      <c r="A46" s="600"/>
      <c r="B46" s="600"/>
      <c r="C46" s="600"/>
      <c r="D46" s="600"/>
      <c r="E46" s="600"/>
      <c r="F46" s="600"/>
      <c r="G46" s="600"/>
      <c r="H46" s="600"/>
      <c r="I46" s="600"/>
    </row>
    <row r="47" spans="1:9" x14ac:dyDescent="0.25">
      <c r="A47" s="600"/>
      <c r="B47" s="600"/>
      <c r="C47" s="600"/>
      <c r="D47" s="600"/>
      <c r="E47" s="600"/>
      <c r="F47" s="600"/>
      <c r="G47" s="600"/>
      <c r="H47" s="600"/>
      <c r="I47" s="600"/>
    </row>
    <row r="48" spans="1:9" x14ac:dyDescent="0.25">
      <c r="A48" s="600"/>
      <c r="B48" s="600"/>
      <c r="C48" s="600"/>
      <c r="D48" s="600"/>
      <c r="E48" s="600"/>
      <c r="F48" s="600"/>
      <c r="G48" s="600"/>
      <c r="H48" s="600"/>
      <c r="I48" s="600"/>
    </row>
    <row r="49" spans="1:9" x14ac:dyDescent="0.25">
      <c r="A49" s="600"/>
      <c r="B49" s="600"/>
      <c r="C49" s="600"/>
      <c r="D49" s="600"/>
      <c r="E49" s="600"/>
      <c r="F49" s="600"/>
      <c r="G49" s="600"/>
      <c r="H49" s="600"/>
      <c r="I49" s="600"/>
    </row>
    <row r="50" spans="1:9" x14ac:dyDescent="0.25">
      <c r="A50" s="600"/>
      <c r="B50" s="600"/>
      <c r="C50" s="600"/>
      <c r="D50" s="600"/>
      <c r="E50" s="600"/>
      <c r="F50" s="600"/>
      <c r="G50" s="600"/>
      <c r="H50" s="600"/>
      <c r="I50" s="600"/>
    </row>
  </sheetData>
  <mergeCells count="37">
    <mergeCell ref="H26:I26"/>
    <mergeCell ref="A25:F25"/>
    <mergeCell ref="A19:F19"/>
    <mergeCell ref="A20:F20"/>
    <mergeCell ref="A22:B22"/>
    <mergeCell ref="A23:C23"/>
    <mergeCell ref="A24:F24"/>
    <mergeCell ref="A18:G18"/>
    <mergeCell ref="A15:D15"/>
    <mergeCell ref="H19:I19"/>
    <mergeCell ref="H24:I24"/>
    <mergeCell ref="H25:I25"/>
    <mergeCell ref="A17:F17"/>
    <mergeCell ref="H17:I17"/>
    <mergeCell ref="A8:I8"/>
    <mergeCell ref="A10:I10"/>
    <mergeCell ref="A14:E14"/>
    <mergeCell ref="A16:G16"/>
    <mergeCell ref="A2:I2"/>
    <mergeCell ref="F4:I4"/>
    <mergeCell ref="A6:I6"/>
    <mergeCell ref="A33:H33"/>
    <mergeCell ref="A34:H34"/>
    <mergeCell ref="A28:H28"/>
    <mergeCell ref="A29:I29"/>
    <mergeCell ref="A1:I1"/>
    <mergeCell ref="A11:I11"/>
    <mergeCell ref="A12:I12"/>
    <mergeCell ref="A32:H32"/>
    <mergeCell ref="A7:I7"/>
    <mergeCell ref="F5:I5"/>
    <mergeCell ref="F3:I3"/>
    <mergeCell ref="H13:I13"/>
    <mergeCell ref="F14:G14"/>
    <mergeCell ref="H14:I14"/>
    <mergeCell ref="A27:F27"/>
    <mergeCell ref="H27:I27"/>
  </mergeCells>
  <phoneticPr fontId="17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opLeftCell="B1" workbookViewId="0">
      <selection activeCell="E6" sqref="E6:I13"/>
    </sheetView>
  </sheetViews>
  <sheetFormatPr defaultRowHeight="15" x14ac:dyDescent="0.25"/>
  <cols>
    <col min="1" max="1" width="19.5703125" style="10" customWidth="1"/>
    <col min="2" max="2" width="21.140625" style="10" customWidth="1"/>
    <col min="3" max="3" width="20.28515625" style="10" customWidth="1"/>
    <col min="5" max="5" width="24.140625" customWidth="1"/>
    <col min="6" max="6" width="10.28515625" customWidth="1"/>
    <col min="7" max="7" width="13.42578125" customWidth="1"/>
    <col min="8" max="8" width="10.42578125" customWidth="1"/>
    <col min="9" max="9" width="13.140625" customWidth="1"/>
    <col min="10" max="10" width="11" bestFit="1" customWidth="1"/>
  </cols>
  <sheetData>
    <row r="1" spans="1:10" ht="65.25" customHeight="1" x14ac:dyDescent="0.25">
      <c r="A1" s="789" t="s">
        <v>247</v>
      </c>
      <c r="B1" s="795"/>
      <c r="C1" s="795"/>
    </row>
    <row r="3" spans="1:10" ht="60.75" customHeight="1" x14ac:dyDescent="0.25">
      <c r="A3" s="793" t="s">
        <v>730</v>
      </c>
      <c r="B3" s="791" t="s">
        <v>731</v>
      </c>
      <c r="C3" s="576" t="s">
        <v>751</v>
      </c>
    </row>
    <row r="4" spans="1:10" x14ac:dyDescent="0.25">
      <c r="A4" s="794"/>
      <c r="B4" s="792"/>
      <c r="C4" s="73" t="s">
        <v>668</v>
      </c>
    </row>
    <row r="5" spans="1:10" ht="14.25" customHeight="1" x14ac:dyDescent="0.25">
      <c r="A5" s="121" t="s">
        <v>248</v>
      </c>
      <c r="B5" s="714">
        <f>159*654*1.15*12+250*654*1.15*4+1*50*6+49*981*1.15*12+10*981*1.15*4</f>
        <v>2895885</v>
      </c>
      <c r="C5" s="714">
        <v>3334775</v>
      </c>
      <c r="G5" s="764"/>
      <c r="H5" s="143"/>
    </row>
    <row r="6" spans="1:10" ht="45.75" customHeight="1" x14ac:dyDescent="0.25">
      <c r="A6" s="73" t="s">
        <v>828</v>
      </c>
      <c r="B6" s="715">
        <f>B5</f>
        <v>2895885</v>
      </c>
      <c r="C6" s="715">
        <f>C5</f>
        <v>3334775</v>
      </c>
      <c r="E6" s="734" t="s">
        <v>44</v>
      </c>
      <c r="F6" s="765" t="s">
        <v>41</v>
      </c>
      <c r="G6" s="765" t="s">
        <v>40</v>
      </c>
      <c r="H6" s="765" t="s">
        <v>42</v>
      </c>
      <c r="I6" s="766" t="s">
        <v>43</v>
      </c>
    </row>
    <row r="7" spans="1:10" x14ac:dyDescent="0.25">
      <c r="E7" s="71" t="s">
        <v>46</v>
      </c>
      <c r="F7" s="71">
        <v>159</v>
      </c>
      <c r="G7" s="71">
        <v>12</v>
      </c>
      <c r="H7" s="78">
        <f>654*1.15</f>
        <v>752.1</v>
      </c>
      <c r="I7" s="78">
        <f>F7*G7*H7</f>
        <v>1435006.8</v>
      </c>
    </row>
    <row r="8" spans="1:10" x14ac:dyDescent="0.25">
      <c r="E8" s="71" t="s">
        <v>45</v>
      </c>
      <c r="F8" s="71">
        <f>250-F10</f>
        <v>238</v>
      </c>
      <c r="G8" s="71">
        <v>4</v>
      </c>
      <c r="H8" s="78">
        <f>654*1.15</f>
        <v>752.1</v>
      </c>
      <c r="I8" s="78">
        <f>F8*G8*H8</f>
        <v>715999.2</v>
      </c>
    </row>
    <row r="9" spans="1:10" ht="25.5" x14ac:dyDescent="0.25">
      <c r="A9" s="576" t="s">
        <v>249</v>
      </c>
      <c r="B9" s="715" t="s">
        <v>250</v>
      </c>
      <c r="C9" s="593">
        <f>C6-B6</f>
        <v>438890</v>
      </c>
      <c r="E9" s="71" t="s">
        <v>46</v>
      </c>
      <c r="F9" s="71">
        <v>62</v>
      </c>
      <c r="G9" s="71">
        <v>12</v>
      </c>
      <c r="H9" s="71">
        <f>981*1.15</f>
        <v>1128.1500000000001</v>
      </c>
      <c r="I9" s="78">
        <f>F9*G9*H9</f>
        <v>839343.6</v>
      </c>
      <c r="J9" s="76"/>
    </row>
    <row r="10" spans="1:10" x14ac:dyDescent="0.25">
      <c r="E10" s="71" t="s">
        <v>45</v>
      </c>
      <c r="F10" s="71">
        <v>12</v>
      </c>
      <c r="G10" s="71">
        <v>4</v>
      </c>
      <c r="H10" s="71">
        <f>981*1.15</f>
        <v>1128.1500000000001</v>
      </c>
      <c r="I10" s="78">
        <f>F10*G10*H10-25.8</f>
        <v>54125.4</v>
      </c>
    </row>
    <row r="11" spans="1:10" x14ac:dyDescent="0.25">
      <c r="E11" s="71" t="s">
        <v>47</v>
      </c>
      <c r="F11" s="71">
        <v>1</v>
      </c>
      <c r="G11" s="71">
        <v>6</v>
      </c>
      <c r="H11" s="71">
        <v>50</v>
      </c>
      <c r="I11" s="78">
        <f>F11*G11*H11</f>
        <v>300</v>
      </c>
      <c r="J11" s="76"/>
    </row>
    <row r="12" spans="1:10" x14ac:dyDescent="0.25">
      <c r="E12" s="71"/>
      <c r="F12" s="71"/>
      <c r="G12" s="71"/>
      <c r="H12" s="71"/>
      <c r="I12" s="106">
        <f>I7+I8+I9+I10+I11</f>
        <v>3044775</v>
      </c>
    </row>
    <row r="13" spans="1:10" x14ac:dyDescent="0.25">
      <c r="I13" s="76"/>
      <c r="J13" s="143"/>
    </row>
    <row r="14" spans="1:10" x14ac:dyDescent="0.25">
      <c r="A14" s="64" t="s">
        <v>824</v>
      </c>
      <c r="C14" s="711" t="s">
        <v>825</v>
      </c>
      <c r="D14" s="509"/>
      <c r="E14" s="509"/>
      <c r="H14" s="76"/>
      <c r="J14" s="143"/>
    </row>
    <row r="15" spans="1:10" x14ac:dyDescent="0.25">
      <c r="A15" s="540"/>
      <c r="C15" s="550"/>
      <c r="D15" s="68"/>
      <c r="E15" s="68"/>
      <c r="I15" s="76"/>
    </row>
    <row r="16" spans="1:10" x14ac:dyDescent="0.25">
      <c r="A16" s="64" t="s">
        <v>99</v>
      </c>
      <c r="C16" s="712" t="s">
        <v>897</v>
      </c>
      <c r="D16" s="64"/>
      <c r="E16" s="64"/>
    </row>
  </sheetData>
  <mergeCells count="3">
    <mergeCell ref="A1:C1"/>
    <mergeCell ref="A3:A4"/>
    <mergeCell ref="B3:B4"/>
  </mergeCells>
  <phoneticPr fontId="17" type="noConversion"/>
  <pageMargins left="0.75" right="0.75" top="1" bottom="1" header="0.5" footer="0.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opLeftCell="A13" workbookViewId="0">
      <selection sqref="A1:C1"/>
    </sheetView>
  </sheetViews>
  <sheetFormatPr defaultRowHeight="15" x14ac:dyDescent="0.25"/>
  <cols>
    <col min="1" max="1" width="32.7109375" customWidth="1"/>
    <col min="2" max="2" width="11.42578125" customWidth="1"/>
    <col min="3" max="3" width="20.42578125" customWidth="1"/>
  </cols>
  <sheetData>
    <row r="1" spans="1:3" ht="41.25" customHeight="1" x14ac:dyDescent="0.25">
      <c r="A1" s="789" t="s">
        <v>754</v>
      </c>
      <c r="B1" s="790"/>
      <c r="C1" s="790"/>
    </row>
    <row r="3" spans="1:3" ht="56.25" customHeight="1" x14ac:dyDescent="0.25">
      <c r="A3" s="791" t="s">
        <v>736</v>
      </c>
      <c r="B3" s="791" t="s">
        <v>827</v>
      </c>
      <c r="C3" s="576" t="s">
        <v>751</v>
      </c>
    </row>
    <row r="4" spans="1:3" x14ac:dyDescent="0.25">
      <c r="A4" s="792"/>
      <c r="B4" s="792"/>
      <c r="C4" s="73" t="s">
        <v>737</v>
      </c>
    </row>
    <row r="5" spans="1:3" ht="62.25" customHeight="1" x14ac:dyDescent="0.25">
      <c r="A5" s="594" t="s">
        <v>738</v>
      </c>
      <c r="B5" s="595">
        <f>35000*5</f>
        <v>175000</v>
      </c>
      <c r="C5" s="592">
        <f>B5</f>
        <v>175000</v>
      </c>
    </row>
    <row r="6" spans="1:3" ht="86.25" customHeight="1" x14ac:dyDescent="0.25">
      <c r="A6" s="594" t="s">
        <v>739</v>
      </c>
      <c r="B6" s="595">
        <f>5*500</f>
        <v>2500</v>
      </c>
      <c r="C6" s="592">
        <f>5*500</f>
        <v>2500</v>
      </c>
    </row>
    <row r="7" spans="1:3" x14ac:dyDescent="0.25">
      <c r="A7" s="524" t="s">
        <v>828</v>
      </c>
      <c r="B7" s="593">
        <f>B5+B6</f>
        <v>177500</v>
      </c>
      <c r="C7" s="74">
        <f>C5+C6</f>
        <v>177500</v>
      </c>
    </row>
    <row r="11" spans="1:3" x14ac:dyDescent="0.25">
      <c r="A11" s="64" t="s">
        <v>824</v>
      </c>
      <c r="C11" s="509" t="s">
        <v>825</v>
      </c>
    </row>
    <row r="12" spans="1:3" x14ac:dyDescent="0.25">
      <c r="A12" s="68"/>
      <c r="C12" s="68"/>
    </row>
    <row r="13" spans="1:3" x14ac:dyDescent="0.25">
      <c r="A13" s="64" t="s">
        <v>99</v>
      </c>
      <c r="C13" s="64" t="s">
        <v>897</v>
      </c>
    </row>
  </sheetData>
  <mergeCells count="3">
    <mergeCell ref="A1:C1"/>
    <mergeCell ref="A3:A4"/>
    <mergeCell ref="B3:B4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C6" sqref="C6:C8"/>
    </sheetView>
  </sheetViews>
  <sheetFormatPr defaultRowHeight="15" x14ac:dyDescent="0.25"/>
  <cols>
    <col min="1" max="1" width="33.140625" customWidth="1"/>
    <col min="2" max="2" width="11.7109375" customWidth="1"/>
    <col min="3" max="3" width="20.42578125" customWidth="1"/>
  </cols>
  <sheetData>
    <row r="1" spans="1:3" ht="54.75" customHeight="1" x14ac:dyDescent="0.25">
      <c r="A1" s="789" t="s">
        <v>255</v>
      </c>
      <c r="B1" s="790"/>
      <c r="C1" s="790"/>
    </row>
    <row r="3" spans="1:3" ht="76.5" x14ac:dyDescent="0.25">
      <c r="A3" s="791" t="s">
        <v>736</v>
      </c>
      <c r="B3" s="791" t="s">
        <v>827</v>
      </c>
      <c r="C3" s="576" t="s">
        <v>732</v>
      </c>
    </row>
    <row r="4" spans="1:3" x14ac:dyDescent="0.25">
      <c r="A4" s="792"/>
      <c r="B4" s="792"/>
      <c r="C4" s="73" t="s">
        <v>668</v>
      </c>
    </row>
    <row r="5" spans="1:3" ht="83.25" customHeight="1" x14ac:dyDescent="0.25">
      <c r="A5" s="596" t="s">
        <v>740</v>
      </c>
      <c r="B5" s="717">
        <f>B6+B7+B8</f>
        <v>479081</v>
      </c>
      <c r="C5" s="717">
        <f>C6+C7+C8</f>
        <v>479081</v>
      </c>
    </row>
    <row r="6" spans="1:3" x14ac:dyDescent="0.25">
      <c r="A6" s="597" t="s">
        <v>741</v>
      </c>
      <c r="B6" s="796">
        <v>479081</v>
      </c>
      <c r="C6" s="796">
        <f>B6</f>
        <v>479081</v>
      </c>
    </row>
    <row r="7" spans="1:3" ht="12" customHeight="1" x14ac:dyDescent="0.25">
      <c r="A7" s="597" t="s">
        <v>742</v>
      </c>
      <c r="B7" s="797"/>
      <c r="C7" s="797"/>
    </row>
    <row r="8" spans="1:3" ht="16.5" customHeight="1" x14ac:dyDescent="0.25">
      <c r="A8" s="597" t="s">
        <v>743</v>
      </c>
      <c r="B8" s="798"/>
      <c r="C8" s="798"/>
    </row>
    <row r="9" spans="1:3" ht="18" customHeight="1" x14ac:dyDescent="0.25">
      <c r="A9" s="524" t="s">
        <v>828</v>
      </c>
      <c r="B9" s="717">
        <f>B5</f>
        <v>479081</v>
      </c>
      <c r="C9" s="715">
        <f>C5</f>
        <v>479081</v>
      </c>
    </row>
    <row r="10" spans="1:3" x14ac:dyDescent="0.25">
      <c r="C10" s="76"/>
    </row>
    <row r="11" spans="1:3" x14ac:dyDescent="0.25">
      <c r="C11" s="76"/>
    </row>
    <row r="12" spans="1:3" x14ac:dyDescent="0.25">
      <c r="C12" s="76"/>
    </row>
    <row r="13" spans="1:3" x14ac:dyDescent="0.25">
      <c r="A13" s="64" t="s">
        <v>824</v>
      </c>
      <c r="C13" s="509" t="s">
        <v>825</v>
      </c>
    </row>
    <row r="14" spans="1:3" x14ac:dyDescent="0.25">
      <c r="A14" s="68"/>
      <c r="C14" s="68"/>
    </row>
    <row r="15" spans="1:3" x14ac:dyDescent="0.25">
      <c r="A15" s="64" t="s">
        <v>99</v>
      </c>
      <c r="C15" s="64" t="s">
        <v>897</v>
      </c>
    </row>
  </sheetData>
  <mergeCells count="5">
    <mergeCell ref="A1:C1"/>
    <mergeCell ref="A3:A4"/>
    <mergeCell ref="B3:B4"/>
    <mergeCell ref="B6:B8"/>
    <mergeCell ref="C6:C8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opLeftCell="A10" workbookViewId="0">
      <selection sqref="A1:C18"/>
    </sheetView>
  </sheetViews>
  <sheetFormatPr defaultRowHeight="15" x14ac:dyDescent="0.25"/>
  <cols>
    <col min="1" max="1" width="35.5703125" customWidth="1"/>
    <col min="2" max="2" width="20.140625" customWidth="1"/>
    <col min="3" max="3" width="20.42578125" customWidth="1"/>
  </cols>
  <sheetData>
    <row r="1" spans="1:3" ht="54.75" customHeight="1" x14ac:dyDescent="0.25">
      <c r="A1" s="789" t="s">
        <v>254</v>
      </c>
      <c r="B1" s="790"/>
      <c r="C1" s="790"/>
    </row>
    <row r="3" spans="1:3" ht="76.5" x14ac:dyDescent="0.25">
      <c r="A3" s="791" t="s">
        <v>736</v>
      </c>
      <c r="B3" s="791" t="s">
        <v>827</v>
      </c>
      <c r="C3" s="576" t="s">
        <v>732</v>
      </c>
    </row>
    <row r="4" spans="1:3" x14ac:dyDescent="0.25">
      <c r="A4" s="792"/>
      <c r="B4" s="792"/>
      <c r="C4" s="73" t="s">
        <v>668</v>
      </c>
    </row>
    <row r="5" spans="1:3" ht="63" customHeight="1" x14ac:dyDescent="0.25">
      <c r="A5" s="653" t="s">
        <v>740</v>
      </c>
      <c r="B5" s="74">
        <f>B6+B7+B8</f>
        <v>650210.88</v>
      </c>
      <c r="C5" s="74">
        <f>C6+C7+C8</f>
        <v>479081</v>
      </c>
    </row>
    <row r="6" spans="1:3" x14ac:dyDescent="0.25">
      <c r="A6" s="718" t="s">
        <v>741</v>
      </c>
      <c r="B6" s="719">
        <f>174240</f>
        <v>174240</v>
      </c>
      <c r="C6" s="799">
        <v>479081</v>
      </c>
    </row>
    <row r="7" spans="1:3" ht="12" customHeight="1" x14ac:dyDescent="0.25">
      <c r="A7" s="718" t="s">
        <v>742</v>
      </c>
      <c r="B7" s="719">
        <v>41202</v>
      </c>
      <c r="C7" s="800"/>
    </row>
    <row r="8" spans="1:3" ht="16.5" customHeight="1" x14ac:dyDescent="0.25">
      <c r="A8" s="718" t="s">
        <v>743</v>
      </c>
      <c r="B8" s="719">
        <f>434768.88</f>
        <v>434768.88</v>
      </c>
      <c r="C8" s="801"/>
    </row>
    <row r="9" spans="1:3" x14ac:dyDescent="0.25">
      <c r="A9" s="524" t="s">
        <v>828</v>
      </c>
      <c r="B9" s="593">
        <f>B5</f>
        <v>650210.88</v>
      </c>
      <c r="C9" s="74">
        <f>C5</f>
        <v>479081</v>
      </c>
    </row>
    <row r="10" spans="1:3" x14ac:dyDescent="0.25">
      <c r="C10" s="76"/>
    </row>
    <row r="11" spans="1:3" x14ac:dyDescent="0.25">
      <c r="C11" s="76"/>
    </row>
    <row r="12" spans="1:3" x14ac:dyDescent="0.25">
      <c r="A12" s="576" t="s">
        <v>249</v>
      </c>
      <c r="B12" s="715" t="s">
        <v>757</v>
      </c>
      <c r="C12" s="593">
        <f>C9-B9</f>
        <v>-171129.88</v>
      </c>
    </row>
    <row r="13" spans="1:3" x14ac:dyDescent="0.25">
      <c r="C13" s="76"/>
    </row>
    <row r="14" spans="1:3" x14ac:dyDescent="0.25">
      <c r="C14" s="76"/>
    </row>
    <row r="15" spans="1:3" x14ac:dyDescent="0.25">
      <c r="A15" s="64" t="s">
        <v>824</v>
      </c>
      <c r="C15" s="509" t="s">
        <v>825</v>
      </c>
    </row>
    <row r="16" spans="1:3" x14ac:dyDescent="0.25">
      <c r="A16" s="68"/>
      <c r="C16" s="68"/>
    </row>
    <row r="17" spans="1:3" x14ac:dyDescent="0.25">
      <c r="A17" s="64" t="s">
        <v>99</v>
      </c>
      <c r="C17" s="64" t="s">
        <v>897</v>
      </c>
    </row>
  </sheetData>
  <mergeCells count="4">
    <mergeCell ref="A1:C1"/>
    <mergeCell ref="A3:A4"/>
    <mergeCell ref="B3:B4"/>
    <mergeCell ref="C6:C8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53</vt:i4>
      </vt:variant>
      <vt:variant>
        <vt:lpstr>Именованные диапазоны</vt:lpstr>
      </vt:variant>
      <vt:variant>
        <vt:i4>7</vt:i4>
      </vt:variant>
    </vt:vector>
  </HeadingPairs>
  <TitlesOfParts>
    <vt:vector size="60" baseType="lpstr">
      <vt:lpstr>Выпуск</vt:lpstr>
      <vt:lpstr>290,012004</vt:lpstr>
      <vt:lpstr>290,012004 недофинанс</vt:lpstr>
      <vt:lpstr>290,стипендия (2)</vt:lpstr>
      <vt:lpstr>290,стипендия</vt:lpstr>
      <vt:lpstr>290,стипендия недофинанс</vt:lpstr>
      <vt:lpstr>262,000005</vt:lpstr>
      <vt:lpstr>262,00004</vt:lpstr>
      <vt:lpstr>262,00004 недофинанс</vt:lpstr>
      <vt:lpstr>262,000002</vt:lpstr>
      <vt:lpstr>262,000002 недофинанс</vt:lpstr>
      <vt:lpstr>приложение №12</vt:lpstr>
      <vt:lpstr>приложение № 8</vt:lpstr>
      <vt:lpstr>приложение № 5</vt:lpstr>
      <vt:lpstr>расчет за вредность</vt:lpstr>
      <vt:lpstr>расчет з.п.повышенного уров (2)</vt:lpstr>
      <vt:lpstr>расчет з.п.базового уровня (3)</vt:lpstr>
      <vt:lpstr>расчет з.п.повышенного уровня</vt:lpstr>
      <vt:lpstr>расчет з.п.базового уровня</vt:lpstr>
      <vt:lpstr>расчет общий </vt:lpstr>
      <vt:lpstr>доход внебюджет</vt:lpstr>
      <vt:lpstr>211,213 (2)</vt:lpstr>
      <vt:lpstr>211,213общая от 29.06.2012</vt:lpstr>
      <vt:lpstr>211,213 от 29.06.2012 г.</vt:lpstr>
      <vt:lpstr>211,213 (3)</vt:lpstr>
      <vt:lpstr>211,213</vt:lpstr>
      <vt:lpstr>212</vt:lpstr>
      <vt:lpstr>221 ОБЩАЯ</vt:lpstr>
      <vt:lpstr>221 ОБЩАЯ (2)</vt:lpstr>
      <vt:lpstr>221 Б</vt:lpstr>
      <vt:lpstr>222 ОБЩАЯ</vt:lpstr>
      <vt:lpstr>222Б</vt:lpstr>
      <vt:lpstr>224</vt:lpstr>
      <vt:lpstr>225 ОБЩАЯ от июля</vt:lpstr>
      <vt:lpstr>225 ОБЩАЯ</vt:lpstr>
      <vt:lpstr>225 Б</vt:lpstr>
      <vt:lpstr>223 Б (2)</vt:lpstr>
      <vt:lpstr>223 Б</vt:lpstr>
      <vt:lpstr>223 Общая</vt:lpstr>
      <vt:lpstr>223 Общая 06.12</vt:lpstr>
      <vt:lpstr>226 ОБЩАЯ</vt:lpstr>
      <vt:lpstr>226012003</vt:lpstr>
      <vt:lpstr>340 медикаменты</vt:lpstr>
      <vt:lpstr>226 ОБЩАЯ 06.12</vt:lpstr>
      <vt:lpstr>226 Б</vt:lpstr>
      <vt:lpstr>290</vt:lpstr>
      <vt:lpstr>290 (3)</vt:lpstr>
      <vt:lpstr>290 (2)</vt:lpstr>
      <vt:lpstr>310</vt:lpstr>
      <vt:lpstr>340 Общая</vt:lpstr>
      <vt:lpstr>340 Б</vt:lpstr>
      <vt:lpstr>проверка</vt:lpstr>
      <vt:lpstr>Титульный лист</vt:lpstr>
      <vt:lpstr>'221 ОБЩАЯ'!Заголовки_для_печати</vt:lpstr>
      <vt:lpstr>'221 ОБЩАЯ (2)'!Заголовки_для_печати</vt:lpstr>
      <vt:lpstr>'225 ОБЩАЯ'!Заголовки_для_печати</vt:lpstr>
      <vt:lpstr>'225 ОБЩАЯ от июля'!Заголовки_для_печати</vt:lpstr>
      <vt:lpstr>'226 ОБЩАЯ'!Заголовки_для_печати</vt:lpstr>
      <vt:lpstr>'226 ОБЩАЯ 06.12'!Заголовки_для_печати</vt:lpstr>
      <vt:lpstr>'310'!Заголовки_для_печати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Fortuna</dc:creator>
  <cp:lastModifiedBy>главбух</cp:lastModifiedBy>
  <cp:lastPrinted>2022-01-27T09:23:59Z</cp:lastPrinted>
  <dcterms:created xsi:type="dcterms:W3CDTF">2011-10-16T07:27:59Z</dcterms:created>
  <dcterms:modified xsi:type="dcterms:W3CDTF">2022-02-02T11:35:19Z</dcterms:modified>
</cp:coreProperties>
</file>